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120" yWindow="135" windowWidth="15030" windowHeight="8700" activeTab="0"/>
  </bookViews>
  <sheets>
    <sheet name="World Cup 2006" sheetId="1" r:id="rId1"/>
    <sheet name="T" sheetId="2" state="hidden" r:id="rId2"/>
  </sheets>
  <definedNames>
    <definedName name="GMT">'World Cup 2006'!$BF$6</definedName>
    <definedName name="language">'World Cup 2006'!$BH$6</definedName>
    <definedName name="_xlnm.Print_Area" localSheetId="0">'World Cup 2006'!$A$1:$O$87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<sst xmlns="http://schemas.openxmlformats.org/spreadsheetml/2006/main" count="2051" uniqueCount="1797">
  <si>
    <t>World Cup 2006 Final tournament schedule</t>
  </si>
  <si>
    <t>W</t>
  </si>
  <si>
    <t>D</t>
  </si>
  <si>
    <t>L</t>
  </si>
  <si>
    <t>F - A</t>
  </si>
  <si>
    <t>Pnt</t>
  </si>
  <si>
    <t>Place</t>
  </si>
  <si>
    <t>Win</t>
  </si>
  <si>
    <t>Draw</t>
  </si>
  <si>
    <t>Lose</t>
  </si>
  <si>
    <t>F</t>
  </si>
  <si>
    <t>A</t>
  </si>
  <si>
    <t>Germany</t>
  </si>
  <si>
    <t>Second Round</t>
  </si>
  <si>
    <t>Quarter Finals</t>
  </si>
  <si>
    <t>Semi Finals</t>
  </si>
  <si>
    <t>Third Place Play-Off</t>
  </si>
  <si>
    <t>Final</t>
  </si>
  <si>
    <t>World Champion 2006</t>
  </si>
  <si>
    <t>First Round</t>
  </si>
  <si>
    <t>Costa Rica</t>
  </si>
  <si>
    <t>Poland</t>
  </si>
  <si>
    <t>Ecuador</t>
  </si>
  <si>
    <t>England</t>
  </si>
  <si>
    <t>Paraguay</t>
  </si>
  <si>
    <t>Trinidad &amp; Tobago</t>
  </si>
  <si>
    <t>Sweden</t>
  </si>
  <si>
    <t>Argentina</t>
  </si>
  <si>
    <t>Côte d'Ivoir</t>
  </si>
  <si>
    <t>Serbia &amp; Montenegro</t>
  </si>
  <si>
    <t>Netherlands</t>
  </si>
  <si>
    <t>Mexico</t>
  </si>
  <si>
    <t>Iran</t>
  </si>
  <si>
    <t>Angola</t>
  </si>
  <si>
    <t>Portugal</t>
  </si>
  <si>
    <t>Italy</t>
  </si>
  <si>
    <t>Ghana</t>
  </si>
  <si>
    <t>USA</t>
  </si>
  <si>
    <t>Czech Republic</t>
  </si>
  <si>
    <t>Brazil</t>
  </si>
  <si>
    <t>Croatia</t>
  </si>
  <si>
    <t>Australia</t>
  </si>
  <si>
    <t>Japan</t>
  </si>
  <si>
    <t>France</t>
  </si>
  <si>
    <t>Switzerland</t>
  </si>
  <si>
    <t>South Korea</t>
  </si>
  <si>
    <t>Togo</t>
  </si>
  <si>
    <t>Spain</t>
  </si>
  <si>
    <t>Ukraine</t>
  </si>
  <si>
    <t>Tunisia</t>
  </si>
  <si>
    <t>Saudi Arabia</t>
  </si>
  <si>
    <t>R</t>
  </si>
  <si>
    <t>GMT - 11:00</t>
  </si>
  <si>
    <t>GMT - 10:00</t>
  </si>
  <si>
    <t>GMT - 9:00</t>
  </si>
  <si>
    <t>GMT - 8:00</t>
  </si>
  <si>
    <t>GMT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</si>
  <si>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</si>
  <si>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</si>
  <si>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</si>
  <si>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</si>
  <si>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</si>
  <si>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</si>
  <si>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</si>
  <si>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</si>
  <si>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</si>
  <si>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</si>
  <si>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</si>
  <si>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</si>
  <si>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</si>
  <si>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</si>
  <si>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</si>
  <si>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</si>
  <si>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</si>
  <si>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</si>
  <si>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</si>
  <si>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English</t>
  </si>
  <si>
    <t>German</t>
  </si>
  <si>
    <t>Spielplan Weltmeisterschafts endrunde 2006</t>
  </si>
  <si>
    <t>Deutschland</t>
  </si>
  <si>
    <t>Polen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</si>
  <si>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</si>
  <si>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</si>
  <si>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</si>
  <si>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</si>
  <si>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</si>
  <si>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</si>
  <si>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</si>
  <si>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Italien</t>
  </si>
  <si>
    <t>Tschechien</t>
  </si>
  <si>
    <t>Brasilien</t>
  </si>
  <si>
    <t>Kroatien</t>
  </si>
  <si>
    <t>Australien</t>
  </si>
  <si>
    <t>Frankreich</t>
  </si>
  <si>
    <t>Schweiz</t>
  </si>
  <si>
    <t>Süd Korea</t>
  </si>
  <si>
    <t>Spanien</t>
  </si>
  <si>
    <t>Tunesien</t>
  </si>
  <si>
    <t>Saudiarabien</t>
  </si>
  <si>
    <t>G</t>
  </si>
  <si>
    <t>U</t>
  </si>
  <si>
    <t>V</t>
  </si>
  <si>
    <t>Torv.</t>
  </si>
  <si>
    <t>Pkt</t>
  </si>
  <si>
    <t>Group</t>
  </si>
  <si>
    <t>Gruppe</t>
  </si>
  <si>
    <t>Gruppenspiele</t>
  </si>
  <si>
    <t>Achtelfinale</t>
  </si>
  <si>
    <t>Viertelfinale</t>
  </si>
  <si>
    <t>Halbfinale</t>
  </si>
  <si>
    <t>Spiel um Platz 3</t>
  </si>
  <si>
    <t>Finale</t>
  </si>
  <si>
    <t>Visit home page</t>
  </si>
  <si>
    <t>besuche Homepage</t>
  </si>
  <si>
    <t>Jun</t>
  </si>
  <si>
    <t>Jul</t>
  </si>
  <si>
    <t>Weltmeister 2006</t>
  </si>
  <si>
    <t>Group A Winner</t>
  </si>
  <si>
    <t>Group A Second place</t>
  </si>
  <si>
    <t>Sieger Gruppe A</t>
  </si>
  <si>
    <t>Zweiter Gruppe A</t>
  </si>
  <si>
    <t>Group B Winner</t>
  </si>
  <si>
    <t>Sieger Gruppe B</t>
  </si>
  <si>
    <t>Group B Second place</t>
  </si>
  <si>
    <t>Zweiter Gruppe B</t>
  </si>
  <si>
    <t>Group C Winner</t>
  </si>
  <si>
    <t>Sieger Gruppe C</t>
  </si>
  <si>
    <t>Group C Second place</t>
  </si>
  <si>
    <t>Zweiter Gruppe C</t>
  </si>
  <si>
    <t>Group D Winner</t>
  </si>
  <si>
    <t>Sieger Gruppe D</t>
  </si>
  <si>
    <t>Group D Second place</t>
  </si>
  <si>
    <t>Zweiter Gruppe D</t>
  </si>
  <si>
    <t>Group E Winner</t>
  </si>
  <si>
    <t>Sieger Gruppe E</t>
  </si>
  <si>
    <t>Group E Second place</t>
  </si>
  <si>
    <t>Zweiter Gruppe E</t>
  </si>
  <si>
    <t>Group F Winner</t>
  </si>
  <si>
    <t>Sieger Gruppe F</t>
  </si>
  <si>
    <t>Group F Second place</t>
  </si>
  <si>
    <t>Zweiter Gruppe F</t>
  </si>
  <si>
    <t>Group G Winner</t>
  </si>
  <si>
    <t>Sieger Gruppe G</t>
  </si>
  <si>
    <t>Group G Second place</t>
  </si>
  <si>
    <t>Zweiter Gruppe G</t>
  </si>
  <si>
    <t>Group H Winner</t>
  </si>
  <si>
    <t>Sieger Gruppe H</t>
  </si>
  <si>
    <t>Group H Second place</t>
  </si>
  <si>
    <t>Zweiter Gruppe H</t>
  </si>
  <si>
    <t>Second Round 1 Winner</t>
  </si>
  <si>
    <t>Second Round 2 Winner</t>
  </si>
  <si>
    <t>Second Round 3 Winner</t>
  </si>
  <si>
    <t>Second Round 4 Winner</t>
  </si>
  <si>
    <t>Second Round 5 Winner</t>
  </si>
  <si>
    <t>Second Round 6 Winner</t>
  </si>
  <si>
    <t>Second Round 7 Winner</t>
  </si>
  <si>
    <t>Second Round 8 Winner</t>
  </si>
  <si>
    <t>Sieger Achtelfinale 1</t>
  </si>
  <si>
    <t>Sieger Achtelfinale 2</t>
  </si>
  <si>
    <t>Sieger Achtelfinale 3</t>
  </si>
  <si>
    <t>Sieger Achtelfinale 4</t>
  </si>
  <si>
    <t>Sieger Achtelfinale 5</t>
  </si>
  <si>
    <t>Sieger Achtelfinale 6</t>
  </si>
  <si>
    <t>Sieger Achtelfinale 7</t>
  </si>
  <si>
    <t>Sieger Achtelfinale 8</t>
  </si>
  <si>
    <t>Quarter Final 1 Winner</t>
  </si>
  <si>
    <t>Quarter Final 2 Winner</t>
  </si>
  <si>
    <t>Quarter Final 3 Winner</t>
  </si>
  <si>
    <t>Quarter Final 4 Winner</t>
  </si>
  <si>
    <t>Sieger Viertelfinale 1</t>
  </si>
  <si>
    <t>Sieger Viertelfinale 2</t>
  </si>
  <si>
    <t>Sieger Viertelfinale 3</t>
  </si>
  <si>
    <t>Sieger Viertelfinale 4</t>
  </si>
  <si>
    <t>Semi Final 1 Winner</t>
  </si>
  <si>
    <t>Semi Final 2 Winner</t>
  </si>
  <si>
    <t>Semi Final 1 Loser</t>
  </si>
  <si>
    <t>Semi Final 2 Loser</t>
  </si>
  <si>
    <t>Sieger Halbfinale 1</t>
  </si>
  <si>
    <t>Sieger Halbfinale 2</t>
  </si>
  <si>
    <t>French</t>
  </si>
  <si>
    <t>Spanish</t>
  </si>
  <si>
    <t>Italian</t>
  </si>
  <si>
    <t>Portuguese</t>
  </si>
  <si>
    <t>Allemagne</t>
  </si>
  <si>
    <t>Pologne</t>
  </si>
  <si>
    <t>Equateur</t>
  </si>
  <si>
    <t>Angleterre</t>
  </si>
  <si>
    <t>Trinidad et Tobago</t>
  </si>
  <si>
    <t>Suède</t>
  </si>
  <si>
    <t>Argentine</t>
  </si>
  <si>
    <t>Côte d'Ivoire</t>
  </si>
  <si>
    <t>Serbie et Monténégro</t>
  </si>
  <si>
    <t>Pays-Bas</t>
  </si>
  <si>
    <t>Mexique</t>
  </si>
  <si>
    <t>Italie</t>
  </si>
  <si>
    <t>Etats-Unis</t>
  </si>
  <si>
    <t>République Tchèque</t>
  </si>
  <si>
    <t>Brésil</t>
  </si>
  <si>
    <t>Croatie</t>
  </si>
  <si>
    <t>Australie</t>
  </si>
  <si>
    <t>Japon</t>
  </si>
  <si>
    <t>Suisse</t>
  </si>
  <si>
    <t>République de Corée</t>
  </si>
  <si>
    <t>Espagne</t>
  </si>
  <si>
    <t>Tunisie</t>
  </si>
  <si>
    <t>Arabie Saoudite</t>
  </si>
  <si>
    <t>N</t>
  </si>
  <si>
    <t>P</t>
  </si>
  <si>
    <t>Bp - Bc</t>
  </si>
  <si>
    <t>Pts</t>
  </si>
  <si>
    <t>Groupe</t>
  </si>
  <si>
    <t>Premier Tour</t>
  </si>
  <si>
    <t>Match pour la troisième place</t>
  </si>
  <si>
    <t>Champion du Monde 2006</t>
  </si>
  <si>
    <t>Premier du Groupe A</t>
  </si>
  <si>
    <t>Premier du Groupe B</t>
  </si>
  <si>
    <t>Premier du Groupe C</t>
  </si>
  <si>
    <t>Premier du Groupe D</t>
  </si>
  <si>
    <t>Premier du Groupe E</t>
  </si>
  <si>
    <t>Premier du Groupe F</t>
  </si>
  <si>
    <t>Premier du Groupe G</t>
  </si>
  <si>
    <t>Premier du Groupe H</t>
  </si>
  <si>
    <t>Deuxième du Groupe B</t>
  </si>
  <si>
    <t>Deuxième du Groupe A</t>
  </si>
  <si>
    <t>Deuxième du Groupe C</t>
  </si>
  <si>
    <t>Deuxième du Groupe D</t>
  </si>
  <si>
    <t>Deuxième du Groupe E</t>
  </si>
  <si>
    <t>Deuxième du Groupe F</t>
  </si>
  <si>
    <t>Deuxième du Groupe G</t>
  </si>
  <si>
    <t>Deuxième du Groupe H</t>
  </si>
  <si>
    <t>Juin</t>
  </si>
  <si>
    <t>Juil</t>
  </si>
  <si>
    <t>Visitez notre site</t>
  </si>
  <si>
    <t>Copa mundial de Fútbol - Alemania 2006</t>
  </si>
  <si>
    <t>Alemania</t>
  </si>
  <si>
    <t>Polonia</t>
  </si>
  <si>
    <t>Inglaterra</t>
  </si>
  <si>
    <t>Trinidad y Tobago</t>
  </si>
  <si>
    <t>Suecia</t>
  </si>
  <si>
    <t>Costa de Marfil</t>
  </si>
  <si>
    <t>Serbia y Montenegro</t>
  </si>
  <si>
    <t>Holanda</t>
  </si>
  <si>
    <t>México</t>
  </si>
  <si>
    <t>Irán</t>
  </si>
  <si>
    <t>Italia</t>
  </si>
  <si>
    <t>Estados Unidos</t>
  </si>
  <si>
    <t>República Checa</t>
  </si>
  <si>
    <t>Brasil</t>
  </si>
  <si>
    <t>Croacia</t>
  </si>
  <si>
    <t>Japón</t>
  </si>
  <si>
    <t>Francia</t>
  </si>
  <si>
    <t>Suiza</t>
  </si>
  <si>
    <t>Sur Corea</t>
  </si>
  <si>
    <t>España</t>
  </si>
  <si>
    <t>Ucrania</t>
  </si>
  <si>
    <t>Túnez</t>
  </si>
  <si>
    <t>Arabia Saudí</t>
  </si>
  <si>
    <t>PG</t>
  </si>
  <si>
    <t>PE</t>
  </si>
  <si>
    <t>PP</t>
  </si>
  <si>
    <t>Grupo</t>
  </si>
  <si>
    <t>Primera Ronda</t>
  </si>
  <si>
    <t>Segunda Ronda</t>
  </si>
  <si>
    <t>Cuartos de Final</t>
  </si>
  <si>
    <t>Semifinales</t>
  </si>
  <si>
    <t>Tercer puesto</t>
  </si>
  <si>
    <t>Campeón 2006</t>
  </si>
  <si>
    <t>Primero del Grupo A</t>
  </si>
  <si>
    <t>Primero del Grupo B</t>
  </si>
  <si>
    <t>Primero del Grupo C</t>
  </si>
  <si>
    <t>Primero del Grupo D</t>
  </si>
  <si>
    <t>Primero del Grupo E</t>
  </si>
  <si>
    <t>Primero del Grupo F</t>
  </si>
  <si>
    <t>Primero del Grupo G</t>
  </si>
  <si>
    <t>Primero del Grupo H</t>
  </si>
  <si>
    <t>Segundo del Grupo B</t>
  </si>
  <si>
    <t>Segundo del Grupo C</t>
  </si>
  <si>
    <t>Segundo del Grupo D</t>
  </si>
  <si>
    <t>Segundo del Grupo E</t>
  </si>
  <si>
    <t>Segundo del Grupo F</t>
  </si>
  <si>
    <t>Segundo del Grupo G</t>
  </si>
  <si>
    <t>Segundo del Grupo H</t>
  </si>
  <si>
    <t>Ganador partido 1A vs 2B</t>
  </si>
  <si>
    <t>Ganador partido 1C vs 2D</t>
  </si>
  <si>
    <t>Ganador partido 1B vs 2A</t>
  </si>
  <si>
    <t>Ganador partido 1D vs 2C</t>
  </si>
  <si>
    <t>Ganador partido 1E vs 2F</t>
  </si>
  <si>
    <t>Ganador partido 1G vs 2H</t>
  </si>
  <si>
    <t>Ganador partido 1F vs 2E</t>
  </si>
  <si>
    <t>Ganador partido 1H vs 2G</t>
  </si>
  <si>
    <t>Primer semifinalista</t>
  </si>
  <si>
    <t>Segundo semifinalista</t>
  </si>
  <si>
    <t>Tercer semifinalista</t>
  </si>
  <si>
    <t>Cuarto semifinalista</t>
  </si>
  <si>
    <t>Finalista</t>
  </si>
  <si>
    <t>Perdedor semifinal</t>
  </si>
  <si>
    <t>Tabellone Coppa del Mondo 2006</t>
  </si>
  <si>
    <t>Germania</t>
  </si>
  <si>
    <t>Inghilterra</t>
  </si>
  <si>
    <t>Trinidad e Tobago</t>
  </si>
  <si>
    <t>Svezia</t>
  </si>
  <si>
    <t>Costa d'Avorio</t>
  </si>
  <si>
    <t>Serbia Montenegro</t>
  </si>
  <si>
    <t>Olanda</t>
  </si>
  <si>
    <t>Messico</t>
  </si>
  <si>
    <t>Portogallo</t>
  </si>
  <si>
    <t>Repubblica Ceca</t>
  </si>
  <si>
    <t>Brasile</t>
  </si>
  <si>
    <t>Croazia</t>
  </si>
  <si>
    <t>Giappone</t>
  </si>
  <si>
    <t>Svizzera</t>
  </si>
  <si>
    <t>Corea del Sud</t>
  </si>
  <si>
    <t>Spagna</t>
  </si>
  <si>
    <t>Ucraina</t>
  </si>
  <si>
    <t>Arabia Saudita</t>
  </si>
  <si>
    <t>Punti</t>
  </si>
  <si>
    <t>Gruppo</t>
  </si>
  <si>
    <t>Gironi Eliminatori</t>
  </si>
  <si>
    <t>Ottavi di Finale</t>
  </si>
  <si>
    <t>Quarti di Finale</t>
  </si>
  <si>
    <t>Semifinali</t>
  </si>
  <si>
    <t>Finale Terzo Posto</t>
  </si>
  <si>
    <t>Campione del Mondo</t>
  </si>
  <si>
    <t>Prima Gruppo A</t>
  </si>
  <si>
    <t>Prima Gruppo B</t>
  </si>
  <si>
    <t>Prima Gruppo C</t>
  </si>
  <si>
    <t>Prima Gruppo D</t>
  </si>
  <si>
    <t>Prima Gruppo E</t>
  </si>
  <si>
    <t>Prima Gruppo G</t>
  </si>
  <si>
    <t>Prima Gruppo H</t>
  </si>
  <si>
    <t>Prima Gruppo F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</si>
  <si>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</si>
  <si>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</si>
  <si>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</si>
  <si>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</si>
  <si>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</si>
  <si>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</si>
  <si>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</si>
  <si>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</si>
  <si>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Vincitrice Ottavo di Finale 1</t>
  </si>
  <si>
    <t>Vincitrice Ottavo di Finale 2</t>
  </si>
  <si>
    <t>Vincitrice Ottavo di Finale 3</t>
  </si>
  <si>
    <t>Vincitrice Ottavo di Finale 4</t>
  </si>
  <si>
    <t>Vincitrice Ottavo di Finale 5</t>
  </si>
  <si>
    <t>Vincitrice Ottavo di Finale 6</t>
  </si>
  <si>
    <t>Vincitrice Ottavo di Finale 7</t>
  </si>
  <si>
    <t>Vincitrice Ottavo di Finale 8</t>
  </si>
  <si>
    <t>Vincitrice Quarto di Finale 1</t>
  </si>
  <si>
    <t>Vincitrice Quarto di Finale 2</t>
  </si>
  <si>
    <t>Vincitrice Quarto di Finale 3</t>
  </si>
  <si>
    <t>Vincitrice Quarto di Finale 4</t>
  </si>
  <si>
    <t>Vincitrice Semi Finale 1</t>
  </si>
  <si>
    <t>Vincitrice Semi Finale 2</t>
  </si>
  <si>
    <t>Perdente Semi Finale 1</t>
  </si>
  <si>
    <t>Perdente Semi Finale 2</t>
  </si>
  <si>
    <t>Giu</t>
  </si>
  <si>
    <t>Lug</t>
  </si>
  <si>
    <t>Visita la nostra hom page</t>
  </si>
  <si>
    <t>Tabela Final da Copa do Mundo 2006</t>
  </si>
  <si>
    <t>Alemanha</t>
  </si>
  <si>
    <t>Polônia</t>
  </si>
  <si>
    <t>Equador</t>
  </si>
  <si>
    <t>Paraguai</t>
  </si>
  <si>
    <t>Trinidade&amp;Tobago</t>
  </si>
  <si>
    <t>Suécia</t>
  </si>
  <si>
    <t>Costa do Marfim</t>
  </si>
  <si>
    <t>Sérvia&amp;Montenegro</t>
  </si>
  <si>
    <t>Irã</t>
  </si>
  <si>
    <t>Itália</t>
  </si>
  <si>
    <t>Gana</t>
  </si>
  <si>
    <t>EUA</t>
  </si>
  <si>
    <t>República Tcheca</t>
  </si>
  <si>
    <t>Croácia</t>
  </si>
  <si>
    <t>Austrália</t>
  </si>
  <si>
    <t>Japão</t>
  </si>
  <si>
    <t>França</t>
  </si>
  <si>
    <t>Suíça</t>
  </si>
  <si>
    <t>Coréia do Sul</t>
  </si>
  <si>
    <t>Espanha</t>
  </si>
  <si>
    <t>Ucrânia</t>
  </si>
  <si>
    <t>Tunísia</t>
  </si>
  <si>
    <t>Arábia Saudita</t>
  </si>
  <si>
    <t>E</t>
  </si>
  <si>
    <t>Gp - Gc</t>
  </si>
  <si>
    <t>PT</t>
  </si>
  <si>
    <t>Primeira Fase</t>
  </si>
  <si>
    <t>Oitavas de Final</t>
  </si>
  <si>
    <t>Quartas de Final</t>
  </si>
  <si>
    <t>Semifinais</t>
  </si>
  <si>
    <t>3º Lugar</t>
  </si>
  <si>
    <t>Campeão Mundial</t>
  </si>
  <si>
    <t>Gf - Gs</t>
  </si>
  <si>
    <t>Gf - Gv</t>
  </si>
  <si>
    <t>Grupo A Ganhador</t>
  </si>
  <si>
    <t>Grupo B Ganhador</t>
  </si>
  <si>
    <t>Grupo C Ganhador</t>
  </si>
  <si>
    <t>Grupo D Ganhador</t>
  </si>
  <si>
    <t>Grupo E Ganhador</t>
  </si>
  <si>
    <t>Grupo F Ganhador</t>
  </si>
  <si>
    <t>Grupo G Ganhador</t>
  </si>
  <si>
    <t>Grupo H Ganhador</t>
  </si>
  <si>
    <t>Grupo A 2º colocado</t>
  </si>
  <si>
    <t>Grupo B 2º colocado</t>
  </si>
  <si>
    <t>Grupo C 2º colocado</t>
  </si>
  <si>
    <t>Grupo E 2º colocado</t>
  </si>
  <si>
    <t>Grupo D 2º colocado</t>
  </si>
  <si>
    <t>Grupo F 2º colocado</t>
  </si>
  <si>
    <t>Grupo G 2º colocado</t>
  </si>
  <si>
    <t>Grupo H 2º colocado</t>
  </si>
  <si>
    <t>Oitavas de Final 1 Vencedor</t>
  </si>
  <si>
    <t>Oitavas de Final 2 Vencedor</t>
  </si>
  <si>
    <t>Oitavas de Final 3 Vencedor</t>
  </si>
  <si>
    <t>Oitavas de Final 4 Vencedor</t>
  </si>
  <si>
    <t>Oitavas de Final 5 Vencedor</t>
  </si>
  <si>
    <t>Oitavas de Final 6 Vencedor</t>
  </si>
  <si>
    <t>Oitavas de Final 7 Vencedor</t>
  </si>
  <si>
    <t>Oitavas de Final 8 Vencedor</t>
  </si>
  <si>
    <t>Quartas de Final 1 Vencedor</t>
  </si>
  <si>
    <t>Quartas de Final 2 Vencedor</t>
  </si>
  <si>
    <t>Quartas de Final 3 Vencedor</t>
  </si>
  <si>
    <t>Quartas de Final 4 Vencedor</t>
  </si>
  <si>
    <t>Semifinal 1 Vencedor</t>
  </si>
  <si>
    <t>Semifinal 2 Vencedor</t>
  </si>
  <si>
    <t>Semifinal 1 Perdedor</t>
  </si>
  <si>
    <t>Semifinal 2 Perdedor</t>
  </si>
  <si>
    <t xml:space="preserve">Visite a página pessoal </t>
  </si>
  <si>
    <t>Dutch</t>
  </si>
  <si>
    <t>Wedstrijdschema wereldbeker voetbal 2006</t>
  </si>
  <si>
    <t>Duitsland</t>
  </si>
  <si>
    <t>Verenigd Koninkrijk</t>
  </si>
  <si>
    <t>Zweden</t>
  </si>
  <si>
    <t>Argentinië</t>
  </si>
  <si>
    <t>Ivoorkust</t>
  </si>
  <si>
    <t>Servië &amp; Montenegro</t>
  </si>
  <si>
    <t>Nederland</t>
  </si>
  <si>
    <t>Italië</t>
  </si>
  <si>
    <t>VSA</t>
  </si>
  <si>
    <t>Tsjechische Republiek</t>
  </si>
  <si>
    <t>Brazilië</t>
  </si>
  <si>
    <t>Croatië</t>
  </si>
  <si>
    <t>Australië</t>
  </si>
  <si>
    <t>Frankrijk</t>
  </si>
  <si>
    <t>Zwitserland</t>
  </si>
  <si>
    <t>Zuid-Korea</t>
  </si>
  <si>
    <t>Spanje</t>
  </si>
  <si>
    <t>Tunesië</t>
  </si>
  <si>
    <t>Saudi Arabië</t>
  </si>
  <si>
    <t>Punten</t>
  </si>
  <si>
    <t>Groep</t>
  </si>
  <si>
    <t>Kwartfinales</t>
  </si>
  <si>
    <t>Halve Finales</t>
  </si>
  <si>
    <t>Eerste Ronde</t>
  </si>
  <si>
    <t>Tweede Ronde</t>
  </si>
  <si>
    <t>Derde Plaats</t>
  </si>
  <si>
    <t>Wereldkampioen</t>
  </si>
  <si>
    <t>Groep A Winnaar</t>
  </si>
  <si>
    <t>Groep A Tweede Plaats</t>
  </si>
  <si>
    <t>Groep B Winnaar</t>
  </si>
  <si>
    <t>Groep B Tweede Plaats</t>
  </si>
  <si>
    <t>Groep C Winnaar</t>
  </si>
  <si>
    <t>Groep C Tweede Plaats</t>
  </si>
  <si>
    <t>Groep D Winnaar</t>
  </si>
  <si>
    <t>Groep D Tweede Plaats</t>
  </si>
  <si>
    <t>Groep E Winnaar</t>
  </si>
  <si>
    <t>Groep E Tweede Plaats</t>
  </si>
  <si>
    <t>Groep F Winnaar</t>
  </si>
  <si>
    <t>Groep F Tweede Plaats</t>
  </si>
  <si>
    <t>Groep G Winnaar</t>
  </si>
  <si>
    <t>Groep G Tweede Plaats</t>
  </si>
  <si>
    <t>Groep H Winnaar</t>
  </si>
  <si>
    <t>Groep H Tweede Plaats</t>
  </si>
  <si>
    <t>Tweede Ronde 1 Winnaar</t>
  </si>
  <si>
    <t>Tweede Ronde 2 Winnaar</t>
  </si>
  <si>
    <t>Tweede Ronde 3 Winnaar</t>
  </si>
  <si>
    <t>Tweede Ronde 4 Winnaar</t>
  </si>
  <si>
    <t>Tweede Ronde 5 Winnaar</t>
  </si>
  <si>
    <t>Tweede Ronde 6 Winnaar</t>
  </si>
  <si>
    <t>Tweede Ronde 7 Winnaar</t>
  </si>
  <si>
    <t>Tweede Ronde 8 Winnaar</t>
  </si>
  <si>
    <t>Kwartfinales 1 Winnaar</t>
  </si>
  <si>
    <t>Kwartfinales 2 Winnaar</t>
  </si>
  <si>
    <t>Kwartfinales 3 Winnaar</t>
  </si>
  <si>
    <t>Kwartfinales 4 Winnaar</t>
  </si>
  <si>
    <t>Halve Finale 1 Winnaar</t>
  </si>
  <si>
    <t>Halve Finale 2 Winnaar</t>
  </si>
  <si>
    <t>Halve Finale 1 Verliezer</t>
  </si>
  <si>
    <t>Halve Finale 2 Verliezer</t>
  </si>
  <si>
    <t>Juni</t>
  </si>
  <si>
    <t>Juli</t>
  </si>
  <si>
    <t>Bezoek onze homepagina</t>
  </si>
  <si>
    <t>Arabic</t>
  </si>
  <si>
    <t>جدول نهائيات كأس العالم 2006</t>
  </si>
  <si>
    <t>المانيا</t>
  </si>
  <si>
    <t>كوستا ريكا</t>
  </si>
  <si>
    <t>بولندا</t>
  </si>
  <si>
    <t>الإكوادور</t>
  </si>
  <si>
    <t>إنجلترا</t>
  </si>
  <si>
    <t>البراجواي</t>
  </si>
  <si>
    <t xml:space="preserve">ترينيداد و توباغو </t>
  </si>
  <si>
    <t>السويد</t>
  </si>
  <si>
    <t>الأرجنتين</t>
  </si>
  <si>
    <t>ساحل العاج</t>
  </si>
  <si>
    <t>صربيا و مونتنغرو</t>
  </si>
  <si>
    <t>هولندا</t>
  </si>
  <si>
    <t>المكسيك</t>
  </si>
  <si>
    <t>إيران</t>
  </si>
  <si>
    <t>أنجولا</t>
  </si>
  <si>
    <t>البرتغال</t>
  </si>
  <si>
    <t>إيطاليا</t>
  </si>
  <si>
    <t>غانا</t>
  </si>
  <si>
    <t>الولايات المتحدة الأمريكية</t>
  </si>
  <si>
    <t xml:space="preserve">جمهورية التشيك </t>
  </si>
  <si>
    <t>البرازيل</t>
  </si>
  <si>
    <t>كرواتيا</t>
  </si>
  <si>
    <t>أستراليا</t>
  </si>
  <si>
    <t>اليابان</t>
  </si>
  <si>
    <t>فرنسا</t>
  </si>
  <si>
    <t>سويسرا</t>
  </si>
  <si>
    <t>كوريا الجنوبيّة</t>
  </si>
  <si>
    <t>التوجو</t>
  </si>
  <si>
    <t>اسبانيا</t>
  </si>
  <si>
    <t>أوكرانيا</t>
  </si>
  <si>
    <t>تونس</t>
  </si>
  <si>
    <t>المملكة العربية السعودية</t>
  </si>
  <si>
    <t>ف</t>
  </si>
  <si>
    <t>ت</t>
  </si>
  <si>
    <t>خ</t>
  </si>
  <si>
    <t>عليه - له</t>
  </si>
  <si>
    <t>نقاط</t>
  </si>
  <si>
    <t>المجموعة</t>
  </si>
  <si>
    <t>الدور الأول</t>
  </si>
  <si>
    <t>الدور الثاني</t>
  </si>
  <si>
    <t>ربع النهائي</t>
  </si>
  <si>
    <t>نصف النهائي</t>
  </si>
  <si>
    <t>تحديد المركز الثالث</t>
  </si>
  <si>
    <t>الدور النهائي</t>
  </si>
  <si>
    <t>بطل العالم</t>
  </si>
  <si>
    <t xml:space="preserve">أول المجموعة A </t>
  </si>
  <si>
    <t xml:space="preserve">ثاني المجموعة A </t>
  </si>
  <si>
    <t xml:space="preserve">أول المجموعة B </t>
  </si>
  <si>
    <t>ثاني المجموعة B</t>
  </si>
  <si>
    <t>أول المجموعة C</t>
  </si>
  <si>
    <t>ثاني المجموعة C</t>
  </si>
  <si>
    <t>أول المجموعة D</t>
  </si>
  <si>
    <t>ثاني المجموعة D</t>
  </si>
  <si>
    <t>أول المجموعة E</t>
  </si>
  <si>
    <t xml:space="preserve">ثاني المجموعة E </t>
  </si>
  <si>
    <t>أول المجموعة F</t>
  </si>
  <si>
    <t>ثاني المجموعة F</t>
  </si>
  <si>
    <t>أول المجموعة G</t>
  </si>
  <si>
    <t>ثاني المجموعة G</t>
  </si>
  <si>
    <t>أول المجموعة H</t>
  </si>
  <si>
    <t>ثاني المجموعة H</t>
  </si>
  <si>
    <t>الفائز من الدور الثاني مباراة 1</t>
  </si>
  <si>
    <t>الفائز من الدور الثاني مباراة 2</t>
  </si>
  <si>
    <t>الفائز من الدور الثاني مباراة 3</t>
  </si>
  <si>
    <t>الفائز من الدور الثاني مباراة 4</t>
  </si>
  <si>
    <t>الفائز من الدور الثاني مباراة 5</t>
  </si>
  <si>
    <t>الفائز من الدور الثاني مباراة 6</t>
  </si>
  <si>
    <t>الفائز من الدور الثاني مباراة 7</t>
  </si>
  <si>
    <t>الفائز من الدور الثاني مباراة 8</t>
  </si>
  <si>
    <t>الفائز من ربع النهائي مباراة 1</t>
  </si>
  <si>
    <t>الفائز من ربع النهائي مباراة 2</t>
  </si>
  <si>
    <t>الفائز من ربع النهائي مباراة 3</t>
  </si>
  <si>
    <t>الفائز من ربع النهائي مباراة 4</t>
  </si>
  <si>
    <t>الفائز من نصف النهائي مباراة 1</t>
  </si>
  <si>
    <t>الفائز من نصف النهائي مباراة 2</t>
  </si>
  <si>
    <t>الخاسر من نصف النهائي مباراة 1</t>
  </si>
  <si>
    <t>الخاسر من نصف النهائي مباراة 2</t>
  </si>
  <si>
    <t>يونيو</t>
  </si>
  <si>
    <t>يوليو</t>
  </si>
  <si>
    <t xml:space="preserve">زُر موقعنا </t>
  </si>
  <si>
    <t>Norwegian</t>
  </si>
  <si>
    <t xml:space="preserve">Fotball VM 2006 - kampoppsett </t>
  </si>
  <si>
    <t>Tyskland</t>
  </si>
  <si>
    <t>Trinidad og Tobago</t>
  </si>
  <si>
    <t>Sverige</t>
  </si>
  <si>
    <t>Elfenbenskysten</t>
  </si>
  <si>
    <t>Serbia og Montenegro</t>
  </si>
  <si>
    <t>Tsjekkia</t>
  </si>
  <si>
    <t>Kroatia</t>
  </si>
  <si>
    <t>Frankrike</t>
  </si>
  <si>
    <t>Sveits</t>
  </si>
  <si>
    <t>Sør-Korea</t>
  </si>
  <si>
    <t>Spania</t>
  </si>
  <si>
    <t>Ukraina</t>
  </si>
  <si>
    <t>T</t>
  </si>
  <si>
    <t>Mf - Mi</t>
  </si>
  <si>
    <t>Poeng</t>
  </si>
  <si>
    <t>Gruppespill</t>
  </si>
  <si>
    <t>Åttendedelsfinaler</t>
  </si>
  <si>
    <t>Kvartfinaler</t>
  </si>
  <si>
    <t>Semifinaler</t>
  </si>
  <si>
    <t>Bronsefinale</t>
  </si>
  <si>
    <t>Verdensmester 2006</t>
  </si>
  <si>
    <t>Gruppe A Vinner</t>
  </si>
  <si>
    <t>Gruppe A Andre plass</t>
  </si>
  <si>
    <t>Gruppe B Vinner</t>
  </si>
  <si>
    <t>Gruppe B Andre plass</t>
  </si>
  <si>
    <t>Gruppe C Vinner</t>
  </si>
  <si>
    <t>Gruppe C Andre plass</t>
  </si>
  <si>
    <t>Gruppe D Vinner</t>
  </si>
  <si>
    <t>Gruppe D Andre plass</t>
  </si>
  <si>
    <t>Gruppe E Vinner</t>
  </si>
  <si>
    <t>Gruppe E Andre plass</t>
  </si>
  <si>
    <t>Gruppe F Vinner</t>
  </si>
  <si>
    <t>Gruppe F Andre plass</t>
  </si>
  <si>
    <t>Gruppe G Vinner</t>
  </si>
  <si>
    <t>Gruppe G Andre plass</t>
  </si>
  <si>
    <t>Gruppe H Vinner</t>
  </si>
  <si>
    <t>Gruppe H Andre plass</t>
  </si>
  <si>
    <t>Vinner åttendedelsfinale 1</t>
  </si>
  <si>
    <t>Vinner åttendedelsfinale 2</t>
  </si>
  <si>
    <t>Vinner åttendedelsfinale 3</t>
  </si>
  <si>
    <t>Vinner åttendedelsfinale 4</t>
  </si>
  <si>
    <t>Vinner åttendedelsfinale 5</t>
  </si>
  <si>
    <t>Vinner åttendedelsfinale 6</t>
  </si>
  <si>
    <t>Vinner åttendedelsfinale 7</t>
  </si>
  <si>
    <t>Vinner åttendedelsfinale 8</t>
  </si>
  <si>
    <t>Vinner kvartfinale 1</t>
  </si>
  <si>
    <t>Vinner kvartfinale 2</t>
  </si>
  <si>
    <t>Vinner kvartfinale 3</t>
  </si>
  <si>
    <t>Vinner kvartfinale 4</t>
  </si>
  <si>
    <t>Vinner semifinale 1</t>
  </si>
  <si>
    <t>Vinner semifinale 2</t>
  </si>
  <si>
    <t>Taper semifinale 1</t>
  </si>
  <si>
    <t>Taper semifinale 2</t>
  </si>
  <si>
    <t>Besøk hjemmeside</t>
  </si>
  <si>
    <t xml:space="preserve">Farsi </t>
  </si>
  <si>
    <t>جدول مسابقات فینال جام جهانی 2006</t>
  </si>
  <si>
    <t>آلمان</t>
  </si>
  <si>
    <t>كاستاريكا</t>
  </si>
  <si>
    <t>لهستان</t>
  </si>
  <si>
    <t>اکوادور</t>
  </si>
  <si>
    <t>انگلستان</t>
  </si>
  <si>
    <t>پاراگوئه</t>
  </si>
  <si>
    <t>ترینیداد و توباگو</t>
  </si>
  <si>
    <t>سوئد</t>
  </si>
  <si>
    <t>آرژانتین</t>
  </si>
  <si>
    <t>ساحل عاج</t>
  </si>
  <si>
    <t>صربستان و مونته نگرو</t>
  </si>
  <si>
    <t>هلند</t>
  </si>
  <si>
    <t>مکزیک</t>
  </si>
  <si>
    <t>ایران</t>
  </si>
  <si>
    <t>آنگولا</t>
  </si>
  <si>
    <t>پرتقال</t>
  </si>
  <si>
    <t>ایتالیا</t>
  </si>
  <si>
    <t>غنا</t>
  </si>
  <si>
    <t>آمریکا</t>
  </si>
  <si>
    <t>جمهوری چک</t>
  </si>
  <si>
    <t>برزیل</t>
  </si>
  <si>
    <t>کرواسی</t>
  </si>
  <si>
    <t>استرالیا</t>
  </si>
  <si>
    <t>ژاپن</t>
  </si>
  <si>
    <t>فرانسه</t>
  </si>
  <si>
    <t>سوئیس</t>
  </si>
  <si>
    <t>کره جنوبی</t>
  </si>
  <si>
    <t>توگو</t>
  </si>
  <si>
    <t>اسپانیا</t>
  </si>
  <si>
    <t>اوکراین</t>
  </si>
  <si>
    <t>عربستان سعودی</t>
  </si>
  <si>
    <t>برد</t>
  </si>
  <si>
    <t>تساوی</t>
  </si>
  <si>
    <t>باخت</t>
  </si>
  <si>
    <t>امتیاز</t>
  </si>
  <si>
    <t>گروه</t>
  </si>
  <si>
    <t>مرحله اول</t>
  </si>
  <si>
    <t>مرحله دوم</t>
  </si>
  <si>
    <t>یک چهارم نهائی</t>
  </si>
  <si>
    <t>نیمه نهائی</t>
  </si>
  <si>
    <t>بازی رده بندی</t>
  </si>
  <si>
    <t>پایانی</t>
  </si>
  <si>
    <t>قهرمان جهان 2006</t>
  </si>
  <si>
    <t>برنده گروه A</t>
  </si>
  <si>
    <t>دوم گروه A</t>
  </si>
  <si>
    <t>برنده گروه B</t>
  </si>
  <si>
    <t>دوم گروه B</t>
  </si>
  <si>
    <t>برنده گروه C</t>
  </si>
  <si>
    <t>دوم گروه C</t>
  </si>
  <si>
    <t>برنده گروه D</t>
  </si>
  <si>
    <t>دوم گروه D</t>
  </si>
  <si>
    <t>برنده گروه E</t>
  </si>
  <si>
    <t>دوم گروه E</t>
  </si>
  <si>
    <t>برنده گروه F</t>
  </si>
  <si>
    <t>دوم گروه F</t>
  </si>
  <si>
    <t>برنده گروه G</t>
  </si>
  <si>
    <t>دوم گروه G</t>
  </si>
  <si>
    <t>برنده گروه H</t>
  </si>
  <si>
    <t>دوم گروه H</t>
  </si>
  <si>
    <t>برنده مرحله دوم 1</t>
  </si>
  <si>
    <t>برنده مرحله دوم 2</t>
  </si>
  <si>
    <t>برنده مرحله دوم 3</t>
  </si>
  <si>
    <t>برنده مرحله دوم 4</t>
  </si>
  <si>
    <t>برنده مرحله دوم 5</t>
  </si>
  <si>
    <t>برنده مرحله دوم 6</t>
  </si>
  <si>
    <t>برنده مرحله دوم 7</t>
  </si>
  <si>
    <t>برنده مرحله دوم 8</t>
  </si>
  <si>
    <t>برنده یک چهارم نهائی 1</t>
  </si>
  <si>
    <t>برنده یک چهارم نهائی 2</t>
  </si>
  <si>
    <t>برنده یک چهارم نهائی 3</t>
  </si>
  <si>
    <t>برنده یک چهارم نهائی 4</t>
  </si>
  <si>
    <t>برنده نیمه نهائی 1</t>
  </si>
  <si>
    <t>برنده نیمه نهائی 2</t>
  </si>
  <si>
    <t>بازنده نیمه نهائی 1</t>
  </si>
  <si>
    <t>بازنده نیمه نهائی 2</t>
  </si>
  <si>
    <t>ژوئن</t>
  </si>
  <si>
    <t>جولای</t>
  </si>
  <si>
    <t>نمایش صفه اصلی</t>
  </si>
  <si>
    <t>Farsi</t>
  </si>
  <si>
    <t>خورده – زده</t>
  </si>
  <si>
    <t>Coupe du Monde de la FIFA 2006 - Calendrier des matchs</t>
  </si>
  <si>
    <t>Huitième de Finale</t>
  </si>
  <si>
    <t>Quart de Finale</t>
  </si>
  <si>
    <t>Demi-Finale</t>
  </si>
  <si>
    <t>Vainqueur du Huitième de Finale 1</t>
  </si>
  <si>
    <t>Vainqueur du Huitième de Finale 2</t>
  </si>
  <si>
    <t>Vainqueur du Huitième de Finale 3</t>
  </si>
  <si>
    <t>Vainqueur du Huitième de Finale 4</t>
  </si>
  <si>
    <t>Vainqueur du Huitièmesde Finale 5</t>
  </si>
  <si>
    <t>Vainqueur du Huitième de Finale 6</t>
  </si>
  <si>
    <t>Vainqueur du Huitième de Finale 7</t>
  </si>
  <si>
    <t>Vainqueur du Huitième de Finale 8</t>
  </si>
  <si>
    <t>Vainqueur du Quart de Finale 1</t>
  </si>
  <si>
    <t>Vainqueur du Quart de Finale 2</t>
  </si>
  <si>
    <t>Vainqueur du Quart de Finale 3</t>
  </si>
  <si>
    <t>Vainqueur du Quart de Finale 4</t>
  </si>
  <si>
    <t>Vainqueur de la Demi-Finale 1</t>
  </si>
  <si>
    <t>Vainqueur de la Demi-Finale 2</t>
  </si>
  <si>
    <t>Perdant de la Demi-Finale 1</t>
  </si>
  <si>
    <t>Perdant de la Demi-Finale 2</t>
  </si>
  <si>
    <t>Polish</t>
  </si>
  <si>
    <t>Mistrzostwa Swiata 2006 Terminarz Meczy</t>
  </si>
  <si>
    <t>Niemcy</t>
  </si>
  <si>
    <t>Kostaryka</t>
  </si>
  <si>
    <t>Polska</t>
  </si>
  <si>
    <t>Ekwador</t>
  </si>
  <si>
    <t>Anglia</t>
  </si>
  <si>
    <t>Paragwaj</t>
  </si>
  <si>
    <t>Trynidad i Tobago</t>
  </si>
  <si>
    <t>Szwecja</t>
  </si>
  <si>
    <t>Argentyna</t>
  </si>
  <si>
    <t>Wybrzeze Kosci Sloniowej</t>
  </si>
  <si>
    <t>Serbia i Czarnogora</t>
  </si>
  <si>
    <t>Holandia</t>
  </si>
  <si>
    <t>Meksyk</t>
  </si>
  <si>
    <t>Portugalia</t>
  </si>
  <si>
    <t>Wlochy</t>
  </si>
  <si>
    <t>Czechy</t>
  </si>
  <si>
    <t>Brazylia</t>
  </si>
  <si>
    <t>Chorwacja</t>
  </si>
  <si>
    <t>Japonia</t>
  </si>
  <si>
    <t>Francja</t>
  </si>
  <si>
    <t>Szwajcaria</t>
  </si>
  <si>
    <t>Korea Poludniowa</t>
  </si>
  <si>
    <t>Hiszpania</t>
  </si>
  <si>
    <t>Tunezja</t>
  </si>
  <si>
    <t>Arabia Saudyjska</t>
  </si>
  <si>
    <t>Wy</t>
  </si>
  <si>
    <t>Re</t>
  </si>
  <si>
    <t>Prz</t>
  </si>
  <si>
    <t>Br</t>
  </si>
  <si>
    <t>Grupa</t>
  </si>
  <si>
    <t>Pierwsza Runda Finalowa</t>
  </si>
  <si>
    <t>1/8 Finalu</t>
  </si>
  <si>
    <t>Cwiercfinal</t>
  </si>
  <si>
    <t>Polfinal</t>
  </si>
  <si>
    <t>Mecz o Trzecie Miejsce</t>
  </si>
  <si>
    <t>Mistrzostwa Swiata 2006</t>
  </si>
  <si>
    <t>Pierwszy Grupy A</t>
  </si>
  <si>
    <t>Drugi Grupa A</t>
  </si>
  <si>
    <t>Pierwszy Grupy B</t>
  </si>
  <si>
    <t>Drugi Grupa B</t>
  </si>
  <si>
    <t>Pierwszy Grupy C</t>
  </si>
  <si>
    <t>Drugi Grupa C</t>
  </si>
  <si>
    <t>Pierwszy Grupy D</t>
  </si>
  <si>
    <t>Drugi Grupa D</t>
  </si>
  <si>
    <t>Pierwszy Grupy E</t>
  </si>
  <si>
    <t>Drugi Grupa E</t>
  </si>
  <si>
    <t>Pierwszy Grupy F</t>
  </si>
  <si>
    <t>Drugi Grupa F</t>
  </si>
  <si>
    <t>Pierwszy Grupy G</t>
  </si>
  <si>
    <t>Drugi Grupa G</t>
  </si>
  <si>
    <t>Pierwszy Grupy H</t>
  </si>
  <si>
    <t>Drugi Grupa H</t>
  </si>
  <si>
    <t>1 z 1/8 Fianalu</t>
  </si>
  <si>
    <t>2 z 1/8 Fianalu</t>
  </si>
  <si>
    <t>3 z 1/8 Fianalu</t>
  </si>
  <si>
    <t>4 z 1/8 Fianalu</t>
  </si>
  <si>
    <t>5 z 1/8 Fianalu</t>
  </si>
  <si>
    <t>6 z 1/8 Fianalu</t>
  </si>
  <si>
    <t>7 z 1/8 Fianalu</t>
  </si>
  <si>
    <t>8 z 1/8 Fianalu</t>
  </si>
  <si>
    <t>1 z Cwiercfinalu</t>
  </si>
  <si>
    <t>2 z Cwiercfinalu</t>
  </si>
  <si>
    <t>3 z Cwiercfinalu</t>
  </si>
  <si>
    <t>4 z Cwiercfinalu</t>
  </si>
  <si>
    <t>1 Zwyciezca Polfinalu</t>
  </si>
  <si>
    <t>2 Zwyciezca Polfinalu</t>
  </si>
  <si>
    <t>1 Przegrany Polfianlu</t>
  </si>
  <si>
    <t>2 Przegrany Polfianlu</t>
  </si>
  <si>
    <t>Czerwiec</t>
  </si>
  <si>
    <t>Lipiec</t>
  </si>
  <si>
    <t>Odwiedz strone domowa</t>
  </si>
  <si>
    <t>Segundo del Grupo A</t>
  </si>
  <si>
    <t>Bulgarian</t>
  </si>
  <si>
    <t>Програма на Световното първенство в Германия 2006</t>
  </si>
  <si>
    <t>Германия</t>
  </si>
  <si>
    <t>Коста Рика</t>
  </si>
  <si>
    <t>Полша</t>
  </si>
  <si>
    <t>Еквадор</t>
  </si>
  <si>
    <t>Англия</t>
  </si>
  <si>
    <t>Парагвай</t>
  </si>
  <si>
    <t>Тринидад и Тобаго</t>
  </si>
  <si>
    <t>Швеция</t>
  </si>
  <si>
    <t>Аржентина</t>
  </si>
  <si>
    <t>Кот Д'Ивоар</t>
  </si>
  <si>
    <t>Сърбия и Черна гора</t>
  </si>
  <si>
    <t>Холандия</t>
  </si>
  <si>
    <t>Мексико</t>
  </si>
  <si>
    <t>Иран</t>
  </si>
  <si>
    <t>Ангола</t>
  </si>
  <si>
    <t>Португалия</t>
  </si>
  <si>
    <t>Италия</t>
  </si>
  <si>
    <t>Гана</t>
  </si>
  <si>
    <t>САЩ</t>
  </si>
  <si>
    <t>Чехия</t>
  </si>
  <si>
    <t>Бразилия</t>
  </si>
  <si>
    <t>Хърватска</t>
  </si>
  <si>
    <t>Австралия</t>
  </si>
  <si>
    <t>Япония</t>
  </si>
  <si>
    <t>Франция</t>
  </si>
  <si>
    <t>Швейцария</t>
  </si>
  <si>
    <t>Южна Корея</t>
  </si>
  <si>
    <t>Того</t>
  </si>
  <si>
    <t>Испания</t>
  </si>
  <si>
    <t>Украйна</t>
  </si>
  <si>
    <t>Тунис</t>
  </si>
  <si>
    <t>Саудитска Арабия</t>
  </si>
  <si>
    <t>П</t>
  </si>
  <si>
    <t>Р</t>
  </si>
  <si>
    <t>З</t>
  </si>
  <si>
    <t>Точки</t>
  </si>
  <si>
    <t>Група</t>
  </si>
  <si>
    <t>Първи кръг</t>
  </si>
  <si>
    <t>Осминафинали</t>
  </si>
  <si>
    <t>Четвъртфинали</t>
  </si>
  <si>
    <t>Полуфинали</t>
  </si>
  <si>
    <t>Мач за третото място</t>
  </si>
  <si>
    <t>Финал</t>
  </si>
  <si>
    <t>Световен шампион 2006</t>
  </si>
  <si>
    <t>Победител група A</t>
  </si>
  <si>
    <t>Втори група A</t>
  </si>
  <si>
    <t>Победител група B</t>
  </si>
  <si>
    <t>Втори група B</t>
  </si>
  <si>
    <t>Победител група C</t>
  </si>
  <si>
    <t>Втори група C</t>
  </si>
  <si>
    <t>Победител група D</t>
  </si>
  <si>
    <t>Втори група D</t>
  </si>
  <si>
    <t>Победител група E</t>
  </si>
  <si>
    <t>Втори група E</t>
  </si>
  <si>
    <t>Победител група F</t>
  </si>
  <si>
    <t>Втори група F</t>
  </si>
  <si>
    <t>Победител група G</t>
  </si>
  <si>
    <t>Втори група G</t>
  </si>
  <si>
    <t>Победител група H</t>
  </si>
  <si>
    <t>Втори група H</t>
  </si>
  <si>
    <t>Победител осминафинал 1</t>
  </si>
  <si>
    <t>Победител осминафинал 2</t>
  </si>
  <si>
    <t>Победител осминафинал 3</t>
  </si>
  <si>
    <t>Победител осминафинал 4</t>
  </si>
  <si>
    <t>Победител осминафинал 5</t>
  </si>
  <si>
    <t>Победител осминафинал 6</t>
  </si>
  <si>
    <t>Победител осминафинал 7</t>
  </si>
  <si>
    <t>Победител осминафинал 8</t>
  </si>
  <si>
    <t>Победител четвъртфинал 1</t>
  </si>
  <si>
    <t>Победител четвъртфинал 2</t>
  </si>
  <si>
    <t>Победител четвъртфинал 3</t>
  </si>
  <si>
    <t>Победител четвъртфинал 4</t>
  </si>
  <si>
    <t>Победител полуфинал 1</t>
  </si>
  <si>
    <t>Победител полуфинал 2</t>
  </si>
  <si>
    <t>Загубил полуфинал 1</t>
  </si>
  <si>
    <t>Загубил полуфинал 2</t>
  </si>
  <si>
    <t>Юни</t>
  </si>
  <si>
    <t>Юли</t>
  </si>
  <si>
    <t xml:space="preserve">Начална страница </t>
  </si>
  <si>
    <t>Note: Central European Summer Time (CEST) = GMT + 2:00</t>
  </si>
  <si>
    <t>Hungarian / Magyar</t>
  </si>
  <si>
    <t>XVIII. labdarúgó-világbajnokság döntő sorozata - Németország 2006</t>
  </si>
  <si>
    <t>Németország</t>
  </si>
  <si>
    <t>Lengyelország</t>
  </si>
  <si>
    <t>Trinidad és Tobago</t>
  </si>
  <si>
    <t>Svédország</t>
  </si>
  <si>
    <t>Argentína</t>
  </si>
  <si>
    <t>Elefántcsontpart</t>
  </si>
  <si>
    <t>Szerbia és Montenegró</t>
  </si>
  <si>
    <t>Hollandia</t>
  </si>
  <si>
    <t>Mexikó</t>
  </si>
  <si>
    <t>Portugália</t>
  </si>
  <si>
    <t>Olaszország</t>
  </si>
  <si>
    <t>Ghána</t>
  </si>
  <si>
    <t>Amerikai Egyesült Államok</t>
  </si>
  <si>
    <t>Csehország</t>
  </si>
  <si>
    <t>Brazília</t>
  </si>
  <si>
    <t>Horvátország</t>
  </si>
  <si>
    <t>Ausztrália</t>
  </si>
  <si>
    <t>Japán</t>
  </si>
  <si>
    <t>Franciaország</t>
  </si>
  <si>
    <t>Svájc</t>
  </si>
  <si>
    <t>Dél-Korea</t>
  </si>
  <si>
    <t>Spanyolország</t>
  </si>
  <si>
    <t>Ukrajna</t>
  </si>
  <si>
    <t>Tunézia</t>
  </si>
  <si>
    <t>Szaúd-Arábia</t>
  </si>
  <si>
    <t>Gy</t>
  </si>
  <si>
    <t>Gólkül.</t>
  </si>
  <si>
    <t>Pont</t>
  </si>
  <si>
    <t>Csoport</t>
  </si>
  <si>
    <t>Csoportkörök</t>
  </si>
  <si>
    <t>Nyolcaddöntők</t>
  </si>
  <si>
    <t>Negyeddöntők</t>
  </si>
  <si>
    <t>Elődöntők</t>
  </si>
  <si>
    <t>Bronzmeccs</t>
  </si>
  <si>
    <t>Döntő</t>
  </si>
  <si>
    <t>A labdarúgó-VB győztes csapata:</t>
  </si>
  <si>
    <t>A csoport győztese</t>
  </si>
  <si>
    <t>A csoport 2. helyezettje</t>
  </si>
  <si>
    <t>B csoport győztese</t>
  </si>
  <si>
    <t>B csoport 2. helyezettje</t>
  </si>
  <si>
    <t>C csoport győztese</t>
  </si>
  <si>
    <t>C csoport 2. helyezettje</t>
  </si>
  <si>
    <t>D csoport győztese</t>
  </si>
  <si>
    <t>D csoport 2. helyezettje</t>
  </si>
  <si>
    <t>E csoport győztese</t>
  </si>
  <si>
    <t>E csoport 2. helyezettje</t>
  </si>
  <si>
    <t>F csoport győztese</t>
  </si>
  <si>
    <t>F csoport 2. helyezettje</t>
  </si>
  <si>
    <t>G csoport győztese</t>
  </si>
  <si>
    <t>G csoport 2. helyezettje</t>
  </si>
  <si>
    <t>H csoport győztese</t>
  </si>
  <si>
    <t>H csoport 2. helyezettje</t>
  </si>
  <si>
    <t>1. nyolcaddöntő győztese</t>
  </si>
  <si>
    <t>2. nyolcaddöntő győztese</t>
  </si>
  <si>
    <t>3. nyolcaddöntő győztese</t>
  </si>
  <si>
    <t>4. nyolcaddöntő győztese</t>
  </si>
  <si>
    <t>5. nyolcaddöntő győztese</t>
  </si>
  <si>
    <t>6. nyolcaddöntő győztese</t>
  </si>
  <si>
    <t>7. nyolcaddöntő győztese</t>
  </si>
  <si>
    <t>8. nyolcaddöntő győztese</t>
  </si>
  <si>
    <t>1. negyeddöntő győztese</t>
  </si>
  <si>
    <t>2. negyeddöntő győztese</t>
  </si>
  <si>
    <t>3. negyeddöntő győztese</t>
  </si>
  <si>
    <t>4. negyeddöntő győztese</t>
  </si>
  <si>
    <t>1. elődöntő győztese</t>
  </si>
  <si>
    <t>2. elődöntő győztese</t>
  </si>
  <si>
    <t>1. elődöntő vesztese</t>
  </si>
  <si>
    <t>2. elődöntő vesztese</t>
  </si>
  <si>
    <t>Jún</t>
  </si>
  <si>
    <t>Júl</t>
  </si>
  <si>
    <t>Hivatalos weblap megtekintése</t>
  </si>
  <si>
    <t>Hungarian</t>
  </si>
  <si>
    <t>В - Д</t>
  </si>
  <si>
    <t>Lịch thi đấu vòng chung kết World Cup 2006</t>
  </si>
  <si>
    <t>Đức</t>
  </si>
  <si>
    <t>Anh</t>
  </si>
  <si>
    <t>Trinida &amp; Tobago</t>
  </si>
  <si>
    <t>Thụy Điển</t>
  </si>
  <si>
    <t>Bờ Biển Ngà</t>
  </si>
  <si>
    <t>Hà Lan</t>
  </si>
  <si>
    <t>Ý</t>
  </si>
  <si>
    <t>Mỹ</t>
  </si>
  <si>
    <t>Cộng hoà Séc</t>
  </si>
  <si>
    <t>Úc</t>
  </si>
  <si>
    <t>Pháp</t>
  </si>
  <si>
    <t>Thụy Sĩ</t>
  </si>
  <si>
    <t>Hàn Quốc</t>
  </si>
  <si>
    <t>Tây Ban Nha</t>
  </si>
  <si>
    <t>Ả Rập Xêut</t>
  </si>
  <si>
    <t>Thắng</t>
  </si>
  <si>
    <t>Hoà</t>
  </si>
  <si>
    <t>Thua</t>
  </si>
  <si>
    <t>Điểm</t>
  </si>
  <si>
    <t>Vòng 1</t>
  </si>
  <si>
    <t>Vòng 2</t>
  </si>
  <si>
    <t>Tứ kết</t>
  </si>
  <si>
    <t>Bán kết</t>
  </si>
  <si>
    <t>Tranh hạng 3</t>
  </si>
  <si>
    <t>Chung kết</t>
  </si>
  <si>
    <t>Đội vô địch World Cup 2006</t>
  </si>
  <si>
    <t>Nhất bảng A</t>
  </si>
  <si>
    <t>Nhì bảng A</t>
  </si>
  <si>
    <t>Nhất bảng B</t>
  </si>
  <si>
    <t>Nhì bảng B</t>
  </si>
  <si>
    <t>Nhất bảng C</t>
  </si>
  <si>
    <t>Nhì bảng C</t>
  </si>
  <si>
    <t>Nhất bảng D</t>
  </si>
  <si>
    <t>Nhì bảng D</t>
  </si>
  <si>
    <t>Nhất bảng E</t>
  </si>
  <si>
    <t>Nhì bảng E</t>
  </si>
  <si>
    <t>Nhất bảng F</t>
  </si>
  <si>
    <t>Nhì bảng F</t>
  </si>
  <si>
    <t>Nhất bảng G</t>
  </si>
  <si>
    <t>Nhì bảng G</t>
  </si>
  <si>
    <t>Nhất bảng H</t>
  </si>
  <si>
    <t>Nhì bảng H</t>
  </si>
  <si>
    <t>Đội thắng trận 1 vòng 2</t>
  </si>
  <si>
    <t>Đội thắng trận 2 vòng 2</t>
  </si>
  <si>
    <t>Đội thắng trận 3 vòng 2</t>
  </si>
  <si>
    <t>Đội thắng trận 4 vòng 2</t>
  </si>
  <si>
    <t>Đội thắng trận 5 vòng 2</t>
  </si>
  <si>
    <t>Đội thắng trận 6 vòng 2</t>
  </si>
  <si>
    <t>Đội thắng trận 7 vòng 2</t>
  </si>
  <si>
    <t>Đội thắng trận 8 vòng 2</t>
  </si>
  <si>
    <t>Đội thắng trận tứ kết 1</t>
  </si>
  <si>
    <t>Đội thắng trận tứ kết 2</t>
  </si>
  <si>
    <t>Đội thắng trận tứ kết 3</t>
  </si>
  <si>
    <t>Đội thắng trận tứ kết 4</t>
  </si>
  <si>
    <t>Đội thắng trận bán kết 1</t>
  </si>
  <si>
    <t>Đội thắng trận bán kết 2</t>
  </si>
  <si>
    <t>Đội thua trận bán kết 1</t>
  </si>
  <si>
    <t>Đội thua trận bán kết 2</t>
  </si>
  <si>
    <t>Tháng 6</t>
  </si>
  <si>
    <t>Tháng 7</t>
  </si>
  <si>
    <t>Ghé thăm trang chủ</t>
  </si>
  <si>
    <t>Vietnamese</t>
  </si>
  <si>
    <t>Wäutmäischterschaftskaländer 2006</t>
  </si>
  <si>
    <t>Düütschland</t>
  </si>
  <si>
    <t>Costa Riga</t>
  </si>
  <si>
    <t>Pohle</t>
  </si>
  <si>
    <t>Ekuador</t>
  </si>
  <si>
    <t>Ängland</t>
  </si>
  <si>
    <t>Paraguäi</t>
  </si>
  <si>
    <t>Trinidad ond Tobahgo</t>
  </si>
  <si>
    <t>Schwede</t>
  </si>
  <si>
    <t>Argentinie</t>
  </si>
  <si>
    <t>Elfebäiköschte</t>
  </si>
  <si>
    <t>Serbie ond Montenegro</t>
  </si>
  <si>
    <t>Holland</t>
  </si>
  <si>
    <t>Angohla</t>
  </si>
  <si>
    <t>Portugall</t>
  </si>
  <si>
    <t>Gahna</t>
  </si>
  <si>
    <t>Amerika</t>
  </si>
  <si>
    <t>Tschechischi Republik</t>
  </si>
  <si>
    <t>Brasilie</t>
  </si>
  <si>
    <t>Kroazie</t>
  </si>
  <si>
    <t>Auschtralie</t>
  </si>
  <si>
    <t>Frankriich</t>
  </si>
  <si>
    <t>Schwiiz</t>
  </si>
  <si>
    <t>Südkorea</t>
  </si>
  <si>
    <t>Tohgo</t>
  </si>
  <si>
    <t>Schpanie</t>
  </si>
  <si>
    <t>Tunesie</t>
  </si>
  <si>
    <t>Saudi Arabie</t>
  </si>
  <si>
    <t>S</t>
  </si>
  <si>
    <t>Groppe</t>
  </si>
  <si>
    <t>Erschti Rondi</t>
  </si>
  <si>
    <t>Zwöiti Rondi</t>
  </si>
  <si>
    <t>Viertufinal</t>
  </si>
  <si>
    <t>Haubfinal</t>
  </si>
  <si>
    <t>Spel ome dretti Platz</t>
  </si>
  <si>
    <t>Wäutmäischter 2006</t>
  </si>
  <si>
    <t>Gwönner Groppe A</t>
  </si>
  <si>
    <t>Zwöite Groppe A</t>
  </si>
  <si>
    <t>Gwönner Groppe B</t>
  </si>
  <si>
    <t>Zwöite Groppe B</t>
  </si>
  <si>
    <t>Gwönner Groppe C</t>
  </si>
  <si>
    <t>Zwöite Groppe C</t>
  </si>
  <si>
    <t>Gwönner Groppe D</t>
  </si>
  <si>
    <t>Zwöite Groppe D</t>
  </si>
  <si>
    <t>Gwönner Groppe E</t>
  </si>
  <si>
    <t>Zwöite Groppe E</t>
  </si>
  <si>
    <t>Gwönner Groppe F</t>
  </si>
  <si>
    <t>Zwöite Groppe F</t>
  </si>
  <si>
    <t>Gwönner Groppe G</t>
  </si>
  <si>
    <t>Zwöite Groppe G</t>
  </si>
  <si>
    <t>Gwönner Groppe H</t>
  </si>
  <si>
    <t>Zwöite Groppe H</t>
  </si>
  <si>
    <t>Gwönner zwöiti Rondi 1</t>
  </si>
  <si>
    <t>Gwönner zwöiti Rondi 2</t>
  </si>
  <si>
    <t>Gwönner zwöiti Rondi 3</t>
  </si>
  <si>
    <t>Gwönner zwöiti Rondi 4</t>
  </si>
  <si>
    <t>Gwönner zwöiti Rondi 5</t>
  </si>
  <si>
    <t>Gwönner zwöiti Rondi 6</t>
  </si>
  <si>
    <t>Gwönner zwöiti Rondi 7</t>
  </si>
  <si>
    <t>Gwönner zwöiti Rondi 8</t>
  </si>
  <si>
    <t>Gwönner Viertufinal 1</t>
  </si>
  <si>
    <t>Gwönner Viertufinal 2</t>
  </si>
  <si>
    <t>Gwönner Viertufinal 3</t>
  </si>
  <si>
    <t>Gwönner Viertufinal 4</t>
  </si>
  <si>
    <t>Gwönner Haubfinal 1</t>
  </si>
  <si>
    <t>Gwönner Haubfinal 2</t>
  </si>
  <si>
    <t>Verlüürer Haubfinal 1</t>
  </si>
  <si>
    <t>Bsuech öisi homepage</t>
  </si>
  <si>
    <t>Verlierer Halbfinale 1</t>
  </si>
  <si>
    <t>Verlierer Halbfinale 2</t>
  </si>
  <si>
    <t>Verlüürer Haubfinal 2</t>
  </si>
  <si>
    <t>Swiss</t>
  </si>
  <si>
    <t>Croatian</t>
  </si>
  <si>
    <t>Svjetsko prvenstvo 2006 Raspored utakmica</t>
  </si>
  <si>
    <t>Njemačka</t>
  </si>
  <si>
    <t>Kostarika</t>
  </si>
  <si>
    <t>Poljska</t>
  </si>
  <si>
    <t>Ekvador</t>
  </si>
  <si>
    <t>Engleska</t>
  </si>
  <si>
    <t>Paragvaj</t>
  </si>
  <si>
    <t>Tinidad i Tobago</t>
  </si>
  <si>
    <t>Švedska</t>
  </si>
  <si>
    <t>Srbija i Crna Gora</t>
  </si>
  <si>
    <t>Nizozemska</t>
  </si>
  <si>
    <t>Meksiko</t>
  </si>
  <si>
    <t>Italija</t>
  </si>
  <si>
    <t>SAD</t>
  </si>
  <si>
    <t>Češka Republika</t>
  </si>
  <si>
    <t>Hrvatska</t>
  </si>
  <si>
    <t>Australija</t>
  </si>
  <si>
    <t>Francuska</t>
  </si>
  <si>
    <t>Švicarska</t>
  </si>
  <si>
    <t>Južna Koreja</t>
  </si>
  <si>
    <t>Španjolska</t>
  </si>
  <si>
    <t>Ukrajina</t>
  </si>
  <si>
    <t>Tunis</t>
  </si>
  <si>
    <t>Saudijska Arabija</t>
  </si>
  <si>
    <t>Bodovi</t>
  </si>
  <si>
    <t>Prvi krug</t>
  </si>
  <si>
    <t>Drugi krug</t>
  </si>
  <si>
    <t>Četvrtfinale</t>
  </si>
  <si>
    <t>Polufinale</t>
  </si>
  <si>
    <t>Za treće mjesto</t>
  </si>
  <si>
    <t>Svjetsko prvenstvo 2006</t>
  </si>
  <si>
    <t>Grupa A Pobjednik</t>
  </si>
  <si>
    <t>Grupa A Drugo mjesto</t>
  </si>
  <si>
    <t>Grupa B Pobjednik</t>
  </si>
  <si>
    <t>Grupa B Drugo mjesto</t>
  </si>
  <si>
    <t>Grupa C Pobjednik</t>
  </si>
  <si>
    <t>Grupa C Drugo mjesto</t>
  </si>
  <si>
    <t>Grupa D Pobjednik</t>
  </si>
  <si>
    <t>Grupa D Drugo mjesto</t>
  </si>
  <si>
    <t>Grupa E Pobjednik</t>
  </si>
  <si>
    <t>Grupa E Drugo mjesto</t>
  </si>
  <si>
    <t>Grupa F Pobjednik</t>
  </si>
  <si>
    <t>Grupa F Drugo mjesto</t>
  </si>
  <si>
    <t>Grupa G Pobjednik</t>
  </si>
  <si>
    <t>Grupa G Drugo mjesto</t>
  </si>
  <si>
    <t>Grupa H Pobjednik</t>
  </si>
  <si>
    <t>Grupa H Drugo mjesto</t>
  </si>
  <si>
    <t>Drugi krug 1 Pobjednik</t>
  </si>
  <si>
    <t>Drugi krug 2 Pobjednik</t>
  </si>
  <si>
    <t>Drugi krug 3 Pobjednik</t>
  </si>
  <si>
    <t>Drugi krug 4 Pobjednik</t>
  </si>
  <si>
    <t>Drugi krug 5 Pobjednik</t>
  </si>
  <si>
    <t>Drugi krug 6 Pobjednik</t>
  </si>
  <si>
    <t>Drugi krug 7 Pobjednik</t>
  </si>
  <si>
    <t>Drugi krug 8 Pobjednik</t>
  </si>
  <si>
    <t>Četvrtfinale 1 Pobjednik</t>
  </si>
  <si>
    <t>Četvrtfinale 2 Pobjednik</t>
  </si>
  <si>
    <t>Četvrtfinale 3 Pobjednik</t>
  </si>
  <si>
    <t>Četvrtfinale 4 Pobjednik</t>
  </si>
  <si>
    <t>Polufinale 1 Pobjednik</t>
  </si>
  <si>
    <t>Polufinale 2 Pobjednik</t>
  </si>
  <si>
    <t>Polufinale 1 Poraženi</t>
  </si>
  <si>
    <t>Polufinale 2 Poraženi</t>
  </si>
  <si>
    <t>Lip</t>
  </si>
  <si>
    <t>Srp</t>
  </si>
  <si>
    <t>Posjetite naše stranice</t>
  </si>
  <si>
    <t>Ba Lan</t>
  </si>
  <si>
    <t>Ác Hen Ti Na</t>
  </si>
  <si>
    <t>Mê Hy Cô</t>
  </si>
  <si>
    <t>Ăng Gô La</t>
  </si>
  <si>
    <t>Bồ Đào Nha</t>
  </si>
  <si>
    <t>Nhật Bản</t>
  </si>
  <si>
    <t>Tuy Ni Di</t>
  </si>
  <si>
    <t>Bảng</t>
  </si>
  <si>
    <t>Hiệu số</t>
  </si>
  <si>
    <t>Hebrew</t>
  </si>
  <si>
    <t xml:space="preserve">אליפות העולם 2006 לוח זמנים </t>
  </si>
  <si>
    <t>גרמניה</t>
  </si>
  <si>
    <t>קוסטה ריקה</t>
  </si>
  <si>
    <t>פולין</t>
  </si>
  <si>
    <t>אקוודור</t>
  </si>
  <si>
    <t>אנגליה</t>
  </si>
  <si>
    <t>פרגוואי</t>
  </si>
  <si>
    <t>טרנידאד וטובאגו</t>
  </si>
  <si>
    <t>שוודיה</t>
  </si>
  <si>
    <t>ארגנטינה</t>
  </si>
  <si>
    <t>חוף השנהב</t>
  </si>
  <si>
    <t>סרביה מונטנגרו</t>
  </si>
  <si>
    <t>הולנד</t>
  </si>
  <si>
    <t>מקסיקו</t>
  </si>
  <si>
    <t>אירן</t>
  </si>
  <si>
    <t>אנגולה</t>
  </si>
  <si>
    <t>פורטוגל</t>
  </si>
  <si>
    <t>איטליה</t>
  </si>
  <si>
    <t>גאנה</t>
  </si>
  <si>
    <t>ארה"ב</t>
  </si>
  <si>
    <t>צ'כיה</t>
  </si>
  <si>
    <t>ברזיל</t>
  </si>
  <si>
    <t>קרואטיה</t>
  </si>
  <si>
    <t>אוסטרליה</t>
  </si>
  <si>
    <t>יפן</t>
  </si>
  <si>
    <t>צרפת</t>
  </si>
  <si>
    <t>שוויץ</t>
  </si>
  <si>
    <t>דרום קוריאה</t>
  </si>
  <si>
    <t>טוגו</t>
  </si>
  <si>
    <t>ספרד</t>
  </si>
  <si>
    <t>אוקרינה</t>
  </si>
  <si>
    <t>טוניסיה</t>
  </si>
  <si>
    <t>ערב הסעודית</t>
  </si>
  <si>
    <t>נקודות</t>
  </si>
  <si>
    <t xml:space="preserve">נ </t>
  </si>
  <si>
    <t>ה</t>
  </si>
  <si>
    <t>יחס שערים</t>
  </si>
  <si>
    <t>נק'</t>
  </si>
  <si>
    <t>בית</t>
  </si>
  <si>
    <t>שלב ראשון</t>
  </si>
  <si>
    <t>שלב שני</t>
  </si>
  <si>
    <t>רבע גמר</t>
  </si>
  <si>
    <t>חצי גמר</t>
  </si>
  <si>
    <t>מקום שלישי פלייאוף</t>
  </si>
  <si>
    <t>גמר</t>
  </si>
  <si>
    <t>אלופת העולם 2006</t>
  </si>
  <si>
    <t>מנצח בית A</t>
  </si>
  <si>
    <t>מקום שני בית A</t>
  </si>
  <si>
    <t>מנצח בית B</t>
  </si>
  <si>
    <t>מקום שני בית B</t>
  </si>
  <si>
    <t>מנצח בית C</t>
  </si>
  <si>
    <t>מקום שני בית C</t>
  </si>
  <si>
    <t>מנצח בית D</t>
  </si>
  <si>
    <t>מקום שני בית D</t>
  </si>
  <si>
    <t>מנצח בית E</t>
  </si>
  <si>
    <t>מקום שני בית E</t>
  </si>
  <si>
    <t>מנצח בית F</t>
  </si>
  <si>
    <t>מקום שני בית F</t>
  </si>
  <si>
    <t>מנצח בית G</t>
  </si>
  <si>
    <t>מקום שני בית G</t>
  </si>
  <si>
    <t>מנצח בית H</t>
  </si>
  <si>
    <t>מקום שני בית H</t>
  </si>
  <si>
    <t>שלב שני מנצח 1</t>
  </si>
  <si>
    <t>שלב שני מנצח 2</t>
  </si>
  <si>
    <t>שלב שני מנצח 3</t>
  </si>
  <si>
    <t>שלב שני מנצח 4</t>
  </si>
  <si>
    <t>שלב שני מנצח 5</t>
  </si>
  <si>
    <t>שלב שני מנצח 6</t>
  </si>
  <si>
    <t>שלב שני מנצח 7</t>
  </si>
  <si>
    <t>שלב שני מנצח 8</t>
  </si>
  <si>
    <t>רבע גמר מנצח 1</t>
  </si>
  <si>
    <t>רבע גמר מנצח 2</t>
  </si>
  <si>
    <t>רבע גמר מנצח 3</t>
  </si>
  <si>
    <t>רבע גמר מנצח 4</t>
  </si>
  <si>
    <t>חצי גמר מנצח 1</t>
  </si>
  <si>
    <t>חצי גמר מנצח 2</t>
  </si>
  <si>
    <t>חצי גמר מפסיד 1</t>
  </si>
  <si>
    <t>חצי גמר מפסיד 2</t>
  </si>
  <si>
    <t>יוני</t>
  </si>
  <si>
    <t>יולי</t>
  </si>
  <si>
    <t>בקרו בדף הבית</t>
  </si>
  <si>
    <t>Trad. Chinese</t>
  </si>
  <si>
    <t>Simp. Chinese</t>
  </si>
  <si>
    <t>Japanese</t>
  </si>
  <si>
    <r>
      <t>2006</t>
    </r>
    <r>
      <rPr>
        <sz val="9"/>
        <rFont val="細明體"/>
        <family val="3"/>
      </rPr>
      <t>年世界盃時間表</t>
    </r>
  </si>
  <si>
    <r>
      <t>2006</t>
    </r>
    <r>
      <rPr>
        <sz val="9"/>
        <rFont val="SimSun"/>
        <family val="0"/>
      </rPr>
      <t>年世界杯时间表</t>
    </r>
  </si>
  <si>
    <t>ワールドカップ２００６試合日程</t>
  </si>
  <si>
    <t>德國</t>
  </si>
  <si>
    <t>德国</t>
  </si>
  <si>
    <t>ドイツ</t>
  </si>
  <si>
    <t>哥斯達黎加</t>
  </si>
  <si>
    <t>哥斯达黎加</t>
  </si>
  <si>
    <t>コスタリカ</t>
  </si>
  <si>
    <t>波蘭</t>
  </si>
  <si>
    <t>波兰</t>
  </si>
  <si>
    <t>ポーランド</t>
  </si>
  <si>
    <t>厄瓜多爾</t>
  </si>
  <si>
    <t>厄瓜多尔</t>
  </si>
  <si>
    <t>エクアドル</t>
  </si>
  <si>
    <t>英格蘭</t>
  </si>
  <si>
    <t>英格兰</t>
  </si>
  <si>
    <t>イングランド</t>
  </si>
  <si>
    <t>巴拉圭</t>
  </si>
  <si>
    <t>パラグアイ</t>
  </si>
  <si>
    <t>千里達</t>
  </si>
  <si>
    <t>千里达</t>
  </si>
  <si>
    <t>トリニダード・トバゴ</t>
  </si>
  <si>
    <t>瑞典</t>
  </si>
  <si>
    <t>スウェーデン</t>
  </si>
  <si>
    <t>阿根廷</t>
  </si>
  <si>
    <t>アルゼンチン</t>
  </si>
  <si>
    <t>科特迪瓦</t>
  </si>
  <si>
    <t>コートジボワール</t>
  </si>
  <si>
    <t>塞黑</t>
  </si>
  <si>
    <t>セルビア・モンテネグロ</t>
  </si>
  <si>
    <t>荷蘭</t>
  </si>
  <si>
    <t>荷兰</t>
  </si>
  <si>
    <t>オランダ</t>
  </si>
  <si>
    <t>墨西哥</t>
  </si>
  <si>
    <t>メキシコ</t>
  </si>
  <si>
    <t>伊朗</t>
  </si>
  <si>
    <t>イラン</t>
  </si>
  <si>
    <t>安哥拉</t>
  </si>
  <si>
    <t>アンゴラ</t>
  </si>
  <si>
    <t>葡萄牙</t>
  </si>
  <si>
    <t>ポルトガル</t>
  </si>
  <si>
    <t>意大利</t>
  </si>
  <si>
    <t>イタリア</t>
  </si>
  <si>
    <t>加納</t>
  </si>
  <si>
    <t>加纳</t>
  </si>
  <si>
    <t>ガーナ</t>
  </si>
  <si>
    <t>美國</t>
  </si>
  <si>
    <t>美国</t>
  </si>
  <si>
    <t>アメリカ</t>
  </si>
  <si>
    <t>捷克</t>
  </si>
  <si>
    <t>チェコ</t>
  </si>
  <si>
    <t>巴西</t>
  </si>
  <si>
    <t>ブラジル</t>
  </si>
  <si>
    <t>克羅地亞</t>
  </si>
  <si>
    <t>克罗地亚</t>
  </si>
  <si>
    <t>クロアチア</t>
  </si>
  <si>
    <t>澳洲</t>
  </si>
  <si>
    <t>オーストラリア</t>
  </si>
  <si>
    <t>日本</t>
  </si>
  <si>
    <t>法國</t>
  </si>
  <si>
    <t>法国</t>
  </si>
  <si>
    <t>フランス</t>
  </si>
  <si>
    <t>瑞士</t>
  </si>
  <si>
    <t>スイス</t>
  </si>
  <si>
    <t>南韓</t>
  </si>
  <si>
    <t>南韩</t>
  </si>
  <si>
    <t>韓国</t>
  </si>
  <si>
    <t>多哥</t>
  </si>
  <si>
    <t>トーゴ</t>
  </si>
  <si>
    <t>西班牙</t>
  </si>
  <si>
    <t>スペイン</t>
  </si>
  <si>
    <t>烏克蘭</t>
  </si>
  <si>
    <t>乌克兰</t>
  </si>
  <si>
    <t>ウクライナ</t>
  </si>
  <si>
    <t>突尼西亞</t>
  </si>
  <si>
    <t>突尼西亚</t>
  </si>
  <si>
    <t>チュニジア</t>
  </si>
  <si>
    <t>沙地亞拉伯</t>
  </si>
  <si>
    <t>沙地亚拉伯</t>
  </si>
  <si>
    <t>サウジアラビア</t>
  </si>
  <si>
    <t>勝</t>
  </si>
  <si>
    <t>胜</t>
  </si>
  <si>
    <t>和</t>
  </si>
  <si>
    <t>分</t>
  </si>
  <si>
    <t>負</t>
  </si>
  <si>
    <t>负</t>
  </si>
  <si>
    <t>得 - 失</t>
  </si>
  <si>
    <r>
      <t>得</t>
    </r>
    <r>
      <rPr>
        <sz val="9"/>
        <rFont val="細明體"/>
        <family val="3"/>
      </rPr>
      <t xml:space="preserve"> - </t>
    </r>
    <r>
      <rPr>
        <sz val="9"/>
        <rFont val="SimSun"/>
        <family val="0"/>
      </rPr>
      <t>失</t>
    </r>
  </si>
  <si>
    <t>積分</t>
  </si>
  <si>
    <t>积分</t>
  </si>
  <si>
    <t>勝点</t>
  </si>
  <si>
    <t>小組</t>
  </si>
  <si>
    <t>小组</t>
  </si>
  <si>
    <t>グループ</t>
  </si>
  <si>
    <t>1/16 決賽</t>
  </si>
  <si>
    <r>
      <t xml:space="preserve">1/16 </t>
    </r>
    <r>
      <rPr>
        <sz val="9"/>
        <rFont val="SimSun"/>
        <family val="0"/>
      </rPr>
      <t>决赛</t>
    </r>
  </si>
  <si>
    <t>グループリーグ</t>
  </si>
  <si>
    <t>1/8 決賽</t>
  </si>
  <si>
    <r>
      <t xml:space="preserve">1/8 </t>
    </r>
    <r>
      <rPr>
        <sz val="9"/>
        <rFont val="SimSun"/>
        <family val="0"/>
      </rPr>
      <t>决赛</t>
    </r>
  </si>
  <si>
    <r>
      <t>決勝トーナメント</t>
    </r>
    <r>
      <rPr>
        <sz val="8"/>
        <rFont val="Arial CYR"/>
        <family val="0"/>
      </rPr>
      <t>1</t>
    </r>
    <r>
      <rPr>
        <sz val="8"/>
        <rFont val="ＭＳ Ｐゴシック"/>
        <family val="3"/>
      </rPr>
      <t>回戦</t>
    </r>
  </si>
  <si>
    <t>1/4 決賽</t>
  </si>
  <si>
    <r>
      <t xml:space="preserve">1/4 </t>
    </r>
    <r>
      <rPr>
        <sz val="9"/>
        <rFont val="SimSun"/>
        <family val="0"/>
      </rPr>
      <t>决赛</t>
    </r>
  </si>
  <si>
    <t>準々決勝</t>
  </si>
  <si>
    <t>半總決賽</t>
  </si>
  <si>
    <t>半总决赛</t>
  </si>
  <si>
    <t>準決勝</t>
  </si>
  <si>
    <t>季軍戰</t>
  </si>
  <si>
    <t>季军战</t>
  </si>
  <si>
    <t>３位決定戦</t>
  </si>
  <si>
    <t>冠軍戰</t>
  </si>
  <si>
    <t>冠军战</t>
  </si>
  <si>
    <t>決勝</t>
  </si>
  <si>
    <r>
      <t>2006</t>
    </r>
    <r>
      <rPr>
        <sz val="9"/>
        <rFont val="細明體"/>
        <family val="3"/>
      </rPr>
      <t>世界杯</t>
    </r>
    <r>
      <rPr>
        <sz val="9"/>
        <rFont val="Arial CYR"/>
        <family val="2"/>
      </rPr>
      <t xml:space="preserve"> </t>
    </r>
    <r>
      <rPr>
        <sz val="9"/>
        <rFont val="細明體"/>
        <family val="3"/>
      </rPr>
      <t>冠軍</t>
    </r>
  </si>
  <si>
    <r>
      <t>2006</t>
    </r>
    <r>
      <rPr>
        <sz val="9"/>
        <rFont val="SimSun"/>
        <family val="0"/>
      </rPr>
      <t>世界杯</t>
    </r>
    <r>
      <rPr>
        <sz val="9"/>
        <rFont val="Arial CYR"/>
        <family val="2"/>
      </rPr>
      <t xml:space="preserve"> </t>
    </r>
    <r>
      <rPr>
        <sz val="9"/>
        <rFont val="SimSun"/>
        <family val="0"/>
      </rPr>
      <t>冠军</t>
    </r>
  </si>
  <si>
    <t>２００６年ワールドカップ優勝</t>
  </si>
  <si>
    <t xml:space="preserve">A組首名 </t>
  </si>
  <si>
    <r>
      <t>A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</si>
  <si>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グループA １位</t>
  </si>
  <si>
    <r>
      <t>A</t>
    </r>
    <r>
      <rPr>
        <sz val="9"/>
        <rFont val="細明體"/>
        <family val="3"/>
      </rPr>
      <t>組次名</t>
    </r>
  </si>
  <si>
    <r>
      <t>A</t>
    </r>
    <r>
      <rPr>
        <sz val="9"/>
        <rFont val="SimSun"/>
        <family val="0"/>
      </rPr>
      <t>组次名</t>
    </r>
  </si>
  <si>
    <t>グループA ２位</t>
  </si>
  <si>
    <r>
      <t>B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</si>
  <si>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B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</si>
  <si>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グループB １位</t>
  </si>
  <si>
    <r>
      <t>B</t>
    </r>
    <r>
      <rPr>
        <sz val="9"/>
        <rFont val="細明體"/>
        <family val="3"/>
      </rPr>
      <t>組次名</t>
    </r>
  </si>
  <si>
    <r>
      <t>B</t>
    </r>
    <r>
      <rPr>
        <sz val="9"/>
        <rFont val="SimSun"/>
        <family val="0"/>
      </rPr>
      <t>组次名</t>
    </r>
  </si>
  <si>
    <t>グループB ２位</t>
  </si>
  <si>
    <r>
      <t>C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</si>
  <si>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C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</si>
  <si>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グループC １位</t>
  </si>
  <si>
    <r>
      <t>C</t>
    </r>
    <r>
      <rPr>
        <sz val="9"/>
        <rFont val="細明體"/>
        <family val="3"/>
      </rPr>
      <t>組次名</t>
    </r>
  </si>
  <si>
    <r>
      <t>C</t>
    </r>
    <r>
      <rPr>
        <sz val="9"/>
        <rFont val="SimSun"/>
        <family val="0"/>
      </rPr>
      <t>组次名</t>
    </r>
  </si>
  <si>
    <t>グループC ２位</t>
  </si>
  <si>
    <r>
      <t>D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</si>
  <si>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D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</si>
  <si>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グループD １位</t>
  </si>
  <si>
    <r>
      <t>D</t>
    </r>
    <r>
      <rPr>
        <sz val="9"/>
        <rFont val="細明體"/>
        <family val="3"/>
      </rPr>
      <t>組次名</t>
    </r>
  </si>
  <si>
    <r>
      <t>D</t>
    </r>
    <r>
      <rPr>
        <sz val="9"/>
        <rFont val="SimSun"/>
        <family val="0"/>
      </rPr>
      <t>组次名</t>
    </r>
  </si>
  <si>
    <t>グループD ２位</t>
  </si>
  <si>
    <r>
      <t>E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</si>
  <si>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E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</si>
  <si>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グループE １位</t>
  </si>
  <si>
    <r>
      <t>E</t>
    </r>
    <r>
      <rPr>
        <sz val="9"/>
        <rFont val="細明體"/>
        <family val="3"/>
      </rPr>
      <t>組次名</t>
    </r>
  </si>
  <si>
    <r>
      <t>E</t>
    </r>
    <r>
      <rPr>
        <sz val="9"/>
        <rFont val="SimSun"/>
        <family val="0"/>
      </rPr>
      <t>组次名</t>
    </r>
  </si>
  <si>
    <t>グループE ２位</t>
  </si>
  <si>
    <r>
      <t>F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</si>
  <si>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F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</si>
  <si>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グループF １位</t>
  </si>
  <si>
    <r>
      <t>F</t>
    </r>
    <r>
      <rPr>
        <sz val="9"/>
        <rFont val="細明體"/>
        <family val="3"/>
      </rPr>
      <t>組次名</t>
    </r>
  </si>
  <si>
    <r>
      <t>F</t>
    </r>
    <r>
      <rPr>
        <sz val="9"/>
        <rFont val="SimSun"/>
        <family val="0"/>
      </rPr>
      <t>组次名</t>
    </r>
  </si>
  <si>
    <t>グループF ２位</t>
  </si>
  <si>
    <r>
      <t>G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</si>
  <si>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G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</si>
  <si>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グループG １位</t>
  </si>
  <si>
    <r>
      <t>G</t>
    </r>
    <r>
      <rPr>
        <sz val="9"/>
        <rFont val="細明體"/>
        <family val="3"/>
      </rPr>
      <t>組次名</t>
    </r>
  </si>
  <si>
    <r>
      <t>G</t>
    </r>
    <r>
      <rPr>
        <sz val="9"/>
        <rFont val="SimSun"/>
        <family val="0"/>
      </rPr>
      <t>组次名</t>
    </r>
  </si>
  <si>
    <t>グループG ２位</t>
  </si>
  <si>
    <r>
      <t>H</t>
    </r>
    <r>
      <rPr>
        <sz val="9"/>
        <rFont val="細明體"/>
        <family val="3"/>
      </rPr>
      <t>組首名</t>
    </r>
    <r>
      <rPr>
        <sz val="9"/>
        <rFont val="Arial CYR"/>
        <family val="2"/>
      </rPr>
      <t xml:space="preserve"> </t>
    </r>
  </si>
  <si>
    <r>
      <t>H</t>
    </r>
    <r>
      <rPr>
        <sz val="9"/>
        <rFont val="SimSun"/>
        <family val="0"/>
      </rPr>
      <t>组首名</t>
    </r>
    <r>
      <rPr>
        <sz val="9"/>
        <rFont val="Arial CYR"/>
        <family val="2"/>
      </rPr>
      <t xml:space="preserve"> </t>
    </r>
  </si>
  <si>
    <t>グループH １位</t>
  </si>
  <si>
    <r>
      <t>H</t>
    </r>
    <r>
      <rPr>
        <sz val="9"/>
        <rFont val="細明體"/>
        <family val="3"/>
      </rPr>
      <t>組次名</t>
    </r>
  </si>
  <si>
    <r>
      <t>H</t>
    </r>
    <r>
      <rPr>
        <sz val="9"/>
        <rFont val="SimSun"/>
        <family val="0"/>
      </rPr>
      <t>组次名</t>
    </r>
  </si>
  <si>
    <t>グループH ２位</t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</si>
  <si>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(1)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</si>
  <si>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(1)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</si>
  <si>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１戦目勝者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</si>
  <si>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(2)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</si>
  <si>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(2)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</si>
  <si>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２戦目勝者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</si>
  <si>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(3)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</si>
  <si>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(3)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</si>
  <si>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３戦目勝者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</si>
  <si>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(4)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</si>
  <si>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(4)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</si>
  <si>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４戦目勝者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</si>
  <si>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(5)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</si>
  <si>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(5)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</si>
  <si>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５戦目勝者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</si>
  <si>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(6)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</si>
  <si>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(6)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</si>
  <si>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６戦目勝者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</si>
  <si>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(7)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</si>
  <si>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(7)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</si>
  <si>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７戦目勝者</t>
    </r>
  </si>
  <si>
    <r>
      <t xml:space="preserve">1/8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(8) </t>
    </r>
    <r>
      <rPr>
        <sz val="9"/>
        <rFont val="細明體"/>
        <family val="3"/>
      </rPr>
      <t>優勝</t>
    </r>
  </si>
  <si>
    <r>
      <t xml:space="preserve">1/8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(8) </t>
    </r>
    <r>
      <rPr>
        <sz val="9"/>
        <rFont val="SimSun"/>
        <family val="0"/>
      </rPr>
      <t>优胜</t>
    </r>
  </si>
  <si>
    <r>
      <t>決勝トーナメント</t>
    </r>
    <r>
      <rPr>
        <sz val="8"/>
        <rFont val="Arial CYR"/>
        <family val="0"/>
      </rPr>
      <t xml:space="preserve"> </t>
    </r>
    <r>
      <rPr>
        <sz val="8"/>
        <rFont val="ＭＳ Ｐゴシック"/>
        <family val="3"/>
      </rPr>
      <t>８戦目勝者</t>
    </r>
  </si>
  <si>
    <r>
      <t xml:space="preserve">1/4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(1) </t>
    </r>
    <r>
      <rPr>
        <sz val="9"/>
        <rFont val="細明體"/>
        <family val="3"/>
      </rPr>
      <t>優勝</t>
    </r>
  </si>
  <si>
    <r>
      <t xml:space="preserve">1/4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(1) </t>
    </r>
    <r>
      <rPr>
        <sz val="9"/>
        <rFont val="SimSun"/>
        <family val="0"/>
      </rPr>
      <t>优胜</t>
    </r>
  </si>
  <si>
    <t>準々決勝　１戦目勝者</t>
  </si>
  <si>
    <r>
      <t xml:space="preserve">1/4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(2) </t>
    </r>
    <r>
      <rPr>
        <sz val="9"/>
        <rFont val="細明體"/>
        <family val="3"/>
      </rPr>
      <t>優勝</t>
    </r>
  </si>
  <si>
    <r>
      <t xml:space="preserve">1/4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(2) </t>
    </r>
    <r>
      <rPr>
        <sz val="9"/>
        <rFont val="SimSun"/>
        <family val="0"/>
      </rPr>
      <t>优胜</t>
    </r>
  </si>
  <si>
    <t>準々決勝　２戦目勝者</t>
  </si>
  <si>
    <r>
      <t xml:space="preserve">1/4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(3) </t>
    </r>
    <r>
      <rPr>
        <sz val="9"/>
        <rFont val="細明體"/>
        <family val="3"/>
      </rPr>
      <t>優勝</t>
    </r>
  </si>
  <si>
    <r>
      <t xml:space="preserve">1/4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(3) </t>
    </r>
    <r>
      <rPr>
        <sz val="9"/>
        <rFont val="SimSun"/>
        <family val="0"/>
      </rPr>
      <t>优胜</t>
    </r>
  </si>
  <si>
    <t>準々決勝　３戦目勝者</t>
  </si>
  <si>
    <r>
      <t xml:space="preserve">1/4 </t>
    </r>
    <r>
      <rPr>
        <sz val="9"/>
        <rFont val="細明體"/>
        <family val="3"/>
      </rPr>
      <t>決賽</t>
    </r>
    <r>
      <rPr>
        <sz val="9"/>
        <rFont val="Arial CYR"/>
        <family val="2"/>
      </rPr>
      <t xml:space="preserve"> (4) </t>
    </r>
    <r>
      <rPr>
        <sz val="9"/>
        <rFont val="細明體"/>
        <family val="3"/>
      </rPr>
      <t>優勝</t>
    </r>
  </si>
  <si>
    <r>
      <t xml:space="preserve">1/4 </t>
    </r>
    <r>
      <rPr>
        <sz val="9"/>
        <rFont val="SimSun"/>
        <family val="0"/>
      </rPr>
      <t>决赛</t>
    </r>
    <r>
      <rPr>
        <sz val="9"/>
        <rFont val="Arial CYR"/>
        <family val="2"/>
      </rPr>
      <t xml:space="preserve"> (4) </t>
    </r>
    <r>
      <rPr>
        <sz val="9"/>
        <rFont val="SimSun"/>
        <family val="0"/>
      </rPr>
      <t>优胜</t>
    </r>
  </si>
  <si>
    <t>準々決勝　４戦目勝者</t>
  </si>
  <si>
    <r>
      <t>半總決賽</t>
    </r>
    <r>
      <rPr>
        <sz val="9"/>
        <rFont val="Arial CYR"/>
        <family val="2"/>
      </rPr>
      <t xml:space="preserve"> (1) </t>
    </r>
    <r>
      <rPr>
        <sz val="9"/>
        <rFont val="細明體"/>
        <family val="3"/>
      </rPr>
      <t>優勝</t>
    </r>
  </si>
  <si>
    <r>
      <t>半总决赛</t>
    </r>
    <r>
      <rPr>
        <sz val="9"/>
        <rFont val="Arial CYR"/>
        <family val="2"/>
      </rPr>
      <t xml:space="preserve"> (1) </t>
    </r>
    <r>
      <rPr>
        <sz val="9"/>
        <rFont val="SimSun"/>
        <family val="0"/>
      </rPr>
      <t>优胜</t>
    </r>
  </si>
  <si>
    <t>準決勝　１戦目勝者</t>
  </si>
  <si>
    <r>
      <t>半總決賽</t>
    </r>
    <r>
      <rPr>
        <sz val="9"/>
        <rFont val="Arial CYR"/>
        <family val="2"/>
      </rPr>
      <t xml:space="preserve"> (2) </t>
    </r>
    <r>
      <rPr>
        <sz val="9"/>
        <rFont val="細明體"/>
        <family val="3"/>
      </rPr>
      <t>優勝</t>
    </r>
  </si>
  <si>
    <r>
      <t>半总决赛</t>
    </r>
    <r>
      <rPr>
        <sz val="9"/>
        <rFont val="Arial CYR"/>
        <family val="2"/>
      </rPr>
      <t xml:space="preserve"> (2) </t>
    </r>
    <r>
      <rPr>
        <sz val="9"/>
        <rFont val="SimSun"/>
        <family val="0"/>
      </rPr>
      <t>优胜</t>
    </r>
  </si>
  <si>
    <t>準決勝　２戦目勝者</t>
  </si>
  <si>
    <r>
      <t>半總決賽</t>
    </r>
    <r>
      <rPr>
        <sz val="9"/>
        <rFont val="Arial CYR"/>
        <family val="2"/>
      </rPr>
      <t xml:space="preserve"> (1) </t>
    </r>
    <r>
      <rPr>
        <sz val="9"/>
        <rFont val="細明體"/>
        <family val="3"/>
      </rPr>
      <t>落敗</t>
    </r>
  </si>
  <si>
    <r>
      <t>半总决赛</t>
    </r>
    <r>
      <rPr>
        <sz val="9"/>
        <rFont val="Arial CYR"/>
        <family val="2"/>
      </rPr>
      <t xml:space="preserve"> (1) </t>
    </r>
    <r>
      <rPr>
        <sz val="9"/>
        <rFont val="SimSun"/>
        <family val="0"/>
      </rPr>
      <t>落败</t>
    </r>
  </si>
  <si>
    <t>準決勝　１戦目負者</t>
  </si>
  <si>
    <r>
      <t>半總決賽</t>
    </r>
    <r>
      <rPr>
        <sz val="9"/>
        <rFont val="Arial CYR"/>
        <family val="2"/>
      </rPr>
      <t xml:space="preserve"> (2) </t>
    </r>
    <r>
      <rPr>
        <sz val="9"/>
        <rFont val="細明體"/>
        <family val="3"/>
      </rPr>
      <t>落敗</t>
    </r>
  </si>
  <si>
    <r>
      <t>半总决赛</t>
    </r>
    <r>
      <rPr>
        <sz val="9"/>
        <rFont val="Arial CYR"/>
        <family val="2"/>
      </rPr>
      <t xml:space="preserve"> (2) </t>
    </r>
    <r>
      <rPr>
        <sz val="9"/>
        <rFont val="SimSun"/>
        <family val="0"/>
      </rPr>
      <t>落败</t>
    </r>
  </si>
  <si>
    <t>準決勝　２戦目負者</t>
  </si>
  <si>
    <t>六月</t>
  </si>
  <si>
    <t>６月</t>
  </si>
  <si>
    <t>七月</t>
  </si>
  <si>
    <t>７月</t>
  </si>
  <si>
    <t>主頁</t>
  </si>
  <si>
    <t>主页</t>
  </si>
  <si>
    <t>ホームページ</t>
  </si>
  <si>
    <t>Greek</t>
  </si>
  <si>
    <t>Πρόγραμμα Παγκοσμίου Κυπέλλου 2006</t>
  </si>
  <si>
    <t>Γερμανία</t>
  </si>
  <si>
    <t>Κόστα Ρίκα</t>
  </si>
  <si>
    <t>Πολωνία</t>
  </si>
  <si>
    <t>Ισημερινός</t>
  </si>
  <si>
    <t>Αγγλία</t>
  </si>
  <si>
    <t>Παραγουάη</t>
  </si>
  <si>
    <t>Τρινιντάντ &amp; Τομπάγκο</t>
  </si>
  <si>
    <t>Σουηδία</t>
  </si>
  <si>
    <t>Αργεντινή</t>
  </si>
  <si>
    <t>Ακτή Ελεφαντοστού</t>
  </si>
  <si>
    <t>Σερβία &amp; Μαυροβούνιο</t>
  </si>
  <si>
    <t>Ολλανδία</t>
  </si>
  <si>
    <t>Μεξικό</t>
  </si>
  <si>
    <t>Ιράν</t>
  </si>
  <si>
    <t>Ανγκόλα</t>
  </si>
  <si>
    <t>Πορτογαλία</t>
  </si>
  <si>
    <t>Ιταλία</t>
  </si>
  <si>
    <t>Γκάνα</t>
  </si>
  <si>
    <t>Η.Π.Α.</t>
  </si>
  <si>
    <t>Τσεχία</t>
  </si>
  <si>
    <t>Βραζιλία</t>
  </si>
  <si>
    <t>Κροατία</t>
  </si>
  <si>
    <t>Αυστραλία</t>
  </si>
  <si>
    <t>Ιαπωνία</t>
  </si>
  <si>
    <t>Γαλλία</t>
  </si>
  <si>
    <t>Ελβετία</t>
  </si>
  <si>
    <t>Ν. Κορέα</t>
  </si>
  <si>
    <t>Τόγκο</t>
  </si>
  <si>
    <t>Ισπανία</t>
  </si>
  <si>
    <t>Ουκρανία</t>
  </si>
  <si>
    <t>Τυνησία</t>
  </si>
  <si>
    <t>Σαουδική Αραβία</t>
  </si>
  <si>
    <t>Ν</t>
  </si>
  <si>
    <t>Ι</t>
  </si>
  <si>
    <t>Η</t>
  </si>
  <si>
    <t>Υ - Κ</t>
  </si>
  <si>
    <t>Πόντοι</t>
  </si>
  <si>
    <t>Όμιλος</t>
  </si>
  <si>
    <t>Πρώτος γύρος</t>
  </si>
  <si>
    <t>Δεύτερος γύρος</t>
  </si>
  <si>
    <t>Προημιτελικά</t>
  </si>
  <si>
    <t>Ημιτελικά</t>
  </si>
  <si>
    <t>Μικρός τελικός</t>
  </si>
  <si>
    <t>Τελικός</t>
  </si>
  <si>
    <t>Παγκόσμιος Πρωταθλητής 2006</t>
  </si>
  <si>
    <t>Πρώτος Α ομίλου</t>
  </si>
  <si>
    <t>Δεύτερος Α ομίλου</t>
  </si>
  <si>
    <t>Πρώτος Β ομίλου</t>
  </si>
  <si>
    <t>Δεύτερος Β ομίλου</t>
  </si>
  <si>
    <t>Πρώτος Γ ομίλου</t>
  </si>
  <si>
    <t>Δεύτερος Γ ομίλου</t>
  </si>
  <si>
    <t>Πρώτος Δ ομίλου</t>
  </si>
  <si>
    <t>Δεύτερος Δ ομίλου</t>
  </si>
  <si>
    <t>Πρώτος Ε ομίλου</t>
  </si>
  <si>
    <t>Δεύτερος Ε ομίλου</t>
  </si>
  <si>
    <t>Πρώτος ΣΤ ομίλου</t>
  </si>
  <si>
    <t>Δεύτερος ΣΤ ομίλου</t>
  </si>
  <si>
    <t>Πρώτος Ζ ομίλου</t>
  </si>
  <si>
    <t>Δεύτερος Ζ ομίλου</t>
  </si>
  <si>
    <t>Πρώτος Η ομίλου</t>
  </si>
  <si>
    <t>Δεύτερος Η ομίλου</t>
  </si>
  <si>
    <t>Δεύτερος γύρος Νικητής 1</t>
  </si>
  <si>
    <t>Δεύτερος γύρος Νικητής 2</t>
  </si>
  <si>
    <t>Δεύτερος γύρος Νικητής 3</t>
  </si>
  <si>
    <t>Δεύτερος γύρος Νικητής 4</t>
  </si>
  <si>
    <t>Δεύτερος γύρος Νικητής 5</t>
  </si>
  <si>
    <t>Δεύτερος γύρος Νικητής 6</t>
  </si>
  <si>
    <t>Δεύτερος γύρος Νικητής 7</t>
  </si>
  <si>
    <t>Δεύτερος γύρος Νικητής 8</t>
  </si>
  <si>
    <t>Προημιτελικά νικητής 1</t>
  </si>
  <si>
    <t>Προημιτελικά νικητής 2</t>
  </si>
  <si>
    <t>Προημιτελικά νικητής 3</t>
  </si>
  <si>
    <t>Προημιτελικά νικητής 4</t>
  </si>
  <si>
    <t>Ημιτελικά νικητής 1</t>
  </si>
  <si>
    <t>Ημιτελικά νικητής 2</t>
  </si>
  <si>
    <t>Ημιτελικά ηττημένος 1</t>
  </si>
  <si>
    <t>Ημιτελικά ηττημένος 2</t>
  </si>
  <si>
    <t>Ιούνιος</t>
  </si>
  <si>
    <t>Ιούλιος</t>
  </si>
  <si>
    <t>Επισκεπτείτε την ιστοσελίδα μας</t>
  </si>
  <si>
    <t>Turkish</t>
  </si>
  <si>
    <t>2006 Dünya Kupası Turnuva Takvimi</t>
  </si>
  <si>
    <t>Almanya</t>
  </si>
  <si>
    <t>Kosta Rika</t>
  </si>
  <si>
    <t>Polonya</t>
  </si>
  <si>
    <t>Ekvator</t>
  </si>
  <si>
    <t>İngiltere</t>
  </si>
  <si>
    <t>Trinidad Tobago</t>
  </si>
  <si>
    <t>İsveç</t>
  </si>
  <si>
    <t>Arjantin</t>
  </si>
  <si>
    <t>Fildişi Sahili</t>
  </si>
  <si>
    <t>Sırbistan Karadağ</t>
  </si>
  <si>
    <t>Hollanda</t>
  </si>
  <si>
    <t>Meksika</t>
  </si>
  <si>
    <t>İran</t>
  </si>
  <si>
    <t>Portekiz</t>
  </si>
  <si>
    <t>İtalya</t>
  </si>
  <si>
    <t>ABD</t>
  </si>
  <si>
    <t>Çek Cumhuriyeti</t>
  </si>
  <si>
    <t>Brezilya</t>
  </si>
  <si>
    <t>Hırvatistan</t>
  </si>
  <si>
    <t>Avustralya</t>
  </si>
  <si>
    <t>Japonya</t>
  </si>
  <si>
    <t>Fransa</t>
  </si>
  <si>
    <t>İsviçre</t>
  </si>
  <si>
    <t>Güney Kore</t>
  </si>
  <si>
    <t>İspanya</t>
  </si>
  <si>
    <t>Ukrayna</t>
  </si>
  <si>
    <t>Tunus</t>
  </si>
  <si>
    <t>Suudi Arabistan</t>
  </si>
  <si>
    <t>B</t>
  </si>
  <si>
    <t>M</t>
  </si>
  <si>
    <t>A - Y</t>
  </si>
  <si>
    <t>Puan</t>
  </si>
  <si>
    <t>Grup</t>
  </si>
  <si>
    <t>İlk Maçlar</t>
  </si>
  <si>
    <t>İkinci Maçlar</t>
  </si>
  <si>
    <t>Çeyrek Final</t>
  </si>
  <si>
    <t>Yarı Final</t>
  </si>
  <si>
    <t>Üçüncülük Maçı</t>
  </si>
  <si>
    <t>2006 Dünya Şampiyonu</t>
  </si>
  <si>
    <t>A Grubu Lideri</t>
  </si>
  <si>
    <t>A Grubu İkincisi</t>
  </si>
  <si>
    <t>B Grubu Lideri</t>
  </si>
  <si>
    <t>B Grubu İkincisi</t>
  </si>
  <si>
    <t>C Grubu Lideri</t>
  </si>
  <si>
    <t>C Grubu İkincisi</t>
  </si>
  <si>
    <t>D Grubu Lideri</t>
  </si>
  <si>
    <t>D Grubu İkincisi</t>
  </si>
  <si>
    <t>E Grubu Lideri</t>
  </si>
  <si>
    <t>E Grubu İkincisi</t>
  </si>
  <si>
    <t>F Grubu Lideri</t>
  </si>
  <si>
    <t>F Grubu İkincisi</t>
  </si>
  <si>
    <t>G Grubu Lideri</t>
  </si>
  <si>
    <t>G Grubu İkincisi</t>
  </si>
  <si>
    <t>H Grubu Lideri</t>
  </si>
  <si>
    <t>H Grubu İkincisi</t>
  </si>
  <si>
    <t>İkinci Maçlar (1) Galibi</t>
  </si>
  <si>
    <t>İkinci Maçlar (2) Galibi</t>
  </si>
  <si>
    <t>İkinci Maçlar (3) Galibi</t>
  </si>
  <si>
    <t>İkinci Maçlar (4) Galibi</t>
  </si>
  <si>
    <t>İkinci Maçlar (5) Galibi</t>
  </si>
  <si>
    <t>İkinci Maçlar (6) Galibi</t>
  </si>
  <si>
    <t>İkinci Maçlar (7) Galibi</t>
  </si>
  <si>
    <t>İkinci Maçlar (8) Galibi</t>
  </si>
  <si>
    <t>Çeyrek Final (1) Galibi</t>
  </si>
  <si>
    <t>Çeyrek Final (2) Galibi</t>
  </si>
  <si>
    <t>Çeyrek Final (3) Galibi</t>
  </si>
  <si>
    <t>Çeyrek Final (4) Galibi</t>
  </si>
  <si>
    <t>Yarı Final (1) Galibi</t>
  </si>
  <si>
    <t>Yarı Final (2) Galibi</t>
  </si>
  <si>
    <t>Yarı Final (1) Mağlubu</t>
  </si>
  <si>
    <t>Yarı Final (2) Mağlubu</t>
  </si>
  <si>
    <t>Haz</t>
  </si>
  <si>
    <t>Tem</t>
  </si>
  <si>
    <t>Ana sayfayı ziyaret edin</t>
  </si>
  <si>
    <t>Kurdish</t>
  </si>
  <si>
    <t>خشته‌ی یارییه‌کانی کۆتایی جامی جیهانی 2006</t>
  </si>
  <si>
    <t>ئه‌لمانیا</t>
  </si>
  <si>
    <t>کۆستاریکا</t>
  </si>
  <si>
    <t>پۆله‌ندا</t>
  </si>
  <si>
    <t>ئێکوادۆر</t>
  </si>
  <si>
    <t>ئینگلته‌را</t>
  </si>
  <si>
    <t>پاراگوای</t>
  </si>
  <si>
    <t>ترینیداد وتۆباگۆ</t>
  </si>
  <si>
    <t>سوید</t>
  </si>
  <si>
    <t>ئه‌رژه‌نتین</t>
  </si>
  <si>
    <t>که‌ناری عاج</t>
  </si>
  <si>
    <t>سربیاو مۆنتێنیگرۆ</t>
  </si>
  <si>
    <t>هۆله‌ندا</t>
  </si>
  <si>
    <t>مه‌کزیک</t>
  </si>
  <si>
    <t>ئیران</t>
  </si>
  <si>
    <t>ئه‌نگۆلا</t>
  </si>
  <si>
    <t>پۆرتۆگال</t>
  </si>
  <si>
    <t>ئیتالیا</t>
  </si>
  <si>
    <t>ئه‌مریکا</t>
  </si>
  <si>
    <t>کۆماری چیک</t>
  </si>
  <si>
    <t>به‌ڕازیل</t>
  </si>
  <si>
    <t>کۆرواتیا</t>
  </si>
  <si>
    <t>ئۆسترالیا</t>
  </si>
  <si>
    <t>ژاپۆن</t>
  </si>
  <si>
    <t>فه‌رانسا</t>
  </si>
  <si>
    <t>سویسرا</t>
  </si>
  <si>
    <t>کۆریای باشور</t>
  </si>
  <si>
    <t>تۆگۆ</t>
  </si>
  <si>
    <t>ئیسپانیا</t>
  </si>
  <si>
    <t>ئۆکراین</t>
  </si>
  <si>
    <t>عه‌ره‌بستانی سعودی</t>
  </si>
  <si>
    <t>براوه‌</t>
  </si>
  <si>
    <t>یه‌کسان</t>
  </si>
  <si>
    <t>دۆڕاو</t>
  </si>
  <si>
    <t>لێکراو - کراوه‌</t>
  </si>
  <si>
    <t>خال</t>
  </si>
  <si>
    <t>گروپ</t>
  </si>
  <si>
    <t>خولی یه‌که‌م</t>
  </si>
  <si>
    <t>خولی دووه‌م</t>
  </si>
  <si>
    <t>چواره‌کی کۆتایی</t>
  </si>
  <si>
    <t>پێش کۆتایی</t>
  </si>
  <si>
    <t>دیاری کردنی پله‌ی سێیه‌م</t>
  </si>
  <si>
    <t>کۆتایی</t>
  </si>
  <si>
    <t>جامی جیهانی 2006</t>
  </si>
  <si>
    <t>براوه‌ی گروپی A</t>
  </si>
  <si>
    <t>دووه‌می گروپی A</t>
  </si>
  <si>
    <t>براوه‌ی گروپی B</t>
  </si>
  <si>
    <t>دووه‌می گروپی  B</t>
  </si>
  <si>
    <t>براوه‌ی گروپی C</t>
  </si>
  <si>
    <t>دووه‌می گروپی C</t>
  </si>
  <si>
    <t>براوه‌ی گروپی D</t>
  </si>
  <si>
    <t>دووه‌می گروپی D</t>
  </si>
  <si>
    <t>براوه‌ی گروپی E</t>
  </si>
  <si>
    <t>دووه‌می گروپی E</t>
  </si>
  <si>
    <t>براوه‌ی گروپی F</t>
  </si>
  <si>
    <t>دووه‌می گروپی F</t>
  </si>
  <si>
    <t>براوه‌ی گروپی G</t>
  </si>
  <si>
    <t>دووه‌می گروپی G</t>
  </si>
  <si>
    <t>براوه‌ی گروپی H</t>
  </si>
  <si>
    <t>دووه‌می گروپی H</t>
  </si>
  <si>
    <t>یه‌که‌می خولی دووه‌م</t>
  </si>
  <si>
    <t>دووه‌می خولی دووه‌م</t>
  </si>
  <si>
    <t>سێیه‌می خولی دووه‌م</t>
  </si>
  <si>
    <t>چواره‌می خولی دووه‌م</t>
  </si>
  <si>
    <t>پێنجه‌می خولی دووه‌م</t>
  </si>
  <si>
    <t>شه‌شه‌می خولی دووه‌م</t>
  </si>
  <si>
    <t>حه‌فته‌می خولی دووه‌م</t>
  </si>
  <si>
    <t>هه‌شته‌می خولی دووه‌م</t>
  </si>
  <si>
    <t>یه‌که‌می چواره‌کی کۆتایی</t>
  </si>
  <si>
    <t>دووه‌می چواره‌کی کۆتایی</t>
  </si>
  <si>
    <t>سێیه‌می چواره‌کی کۆتایی</t>
  </si>
  <si>
    <t>چواره‌می چواره‌کی کۆتایی</t>
  </si>
  <si>
    <t>یه‌که‌می پێش کۆتایی</t>
  </si>
  <si>
    <t>دووه‌می پێش کۆتایی</t>
  </si>
  <si>
    <t>دۆڕاوی یه‌که‌می پێش کۆتایی</t>
  </si>
  <si>
    <t>دۆڕاوی دووه‌می پێش کۆتایی</t>
  </si>
  <si>
    <t>حوزه‌یران</t>
  </si>
  <si>
    <t>ته‌مموز</t>
  </si>
  <si>
    <t>سه‌ردانی  شێروان.نێت بکه‌ :</t>
  </si>
  <si>
    <t>Korean</t>
  </si>
  <si>
    <r>
      <t>월드컵</t>
    </r>
    <r>
      <rPr>
        <sz val="8"/>
        <rFont val="Arial CYR"/>
        <family val="0"/>
      </rPr>
      <t xml:space="preserve"> 2006 </t>
    </r>
    <r>
      <rPr>
        <sz val="8"/>
        <rFont val="돋움"/>
        <family val="3"/>
      </rPr>
      <t>최종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토너먼트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일정</t>
    </r>
  </si>
  <si>
    <t>독일</t>
  </si>
  <si>
    <t>코스타리카</t>
  </si>
  <si>
    <t>폴란드</t>
  </si>
  <si>
    <t>에콰도르</t>
  </si>
  <si>
    <t>잉글랜드</t>
  </si>
  <si>
    <t>파라과이</t>
  </si>
  <si>
    <r>
      <t>트리니다드</t>
    </r>
    <r>
      <rPr>
        <sz val="8"/>
        <color indexed="8"/>
        <rFont val="Arial Cyr"/>
        <family val="2"/>
      </rPr>
      <t xml:space="preserve"> </t>
    </r>
    <r>
      <rPr>
        <sz val="8"/>
        <color indexed="8"/>
        <rFont val="돋움"/>
        <family val="3"/>
      </rPr>
      <t>토바고</t>
    </r>
  </si>
  <si>
    <t>스웨덴</t>
  </si>
  <si>
    <t>아르헨티나</t>
  </si>
  <si>
    <t>코트디부아르</t>
  </si>
  <si>
    <r>
      <t>세르비아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몬테네그로</t>
    </r>
  </si>
  <si>
    <t>네덜란드</t>
  </si>
  <si>
    <t>멕시코</t>
  </si>
  <si>
    <t>이란</t>
  </si>
  <si>
    <t>앙골라</t>
  </si>
  <si>
    <t>포르투갈</t>
  </si>
  <si>
    <t>이탈리아</t>
  </si>
  <si>
    <t>가나</t>
  </si>
  <si>
    <t>미국</t>
  </si>
  <si>
    <t>체크 공화국</t>
  </si>
  <si>
    <t>브라질</t>
  </si>
  <si>
    <t>크로아티아</t>
  </si>
  <si>
    <t>호주</t>
  </si>
  <si>
    <t>일본</t>
  </si>
  <si>
    <t>프랑스</t>
  </si>
  <si>
    <t>스위스</t>
  </si>
  <si>
    <t>대한민국</t>
  </si>
  <si>
    <t>토고</t>
  </si>
  <si>
    <t>스페인</t>
  </si>
  <si>
    <t>우크라이나</t>
  </si>
  <si>
    <t>튀니지</t>
  </si>
  <si>
    <t>사우디아라비아</t>
  </si>
  <si>
    <t>승</t>
  </si>
  <si>
    <t>무</t>
  </si>
  <si>
    <t>패</t>
  </si>
  <si>
    <t>골득실</t>
  </si>
  <si>
    <t>승점</t>
  </si>
  <si>
    <t>그룹</t>
  </si>
  <si>
    <t>1회전</t>
  </si>
  <si>
    <t>2회전</t>
  </si>
  <si>
    <t>준준결승</t>
  </si>
  <si>
    <t>준결승</t>
  </si>
  <si>
    <t>3,4위전</t>
  </si>
  <si>
    <t>결승전</t>
  </si>
  <si>
    <t>2006년 우승국가</t>
  </si>
  <si>
    <t>A 그룹 1등</t>
  </si>
  <si>
    <t>A 그룹 2등</t>
  </si>
  <si>
    <t>B 그룹 1등</t>
  </si>
  <si>
    <t>B 그룹 2등</t>
  </si>
  <si>
    <t>C 그룹 1등</t>
  </si>
  <si>
    <t>C 그룹 2등</t>
  </si>
  <si>
    <t>D 그룹 1등</t>
  </si>
  <si>
    <t>D 그룹 2등</t>
  </si>
  <si>
    <t>E 그룹 1등</t>
  </si>
  <si>
    <t>E 그룹 2등</t>
  </si>
  <si>
    <t>F 그룹 1등</t>
  </si>
  <si>
    <t>F 그룹 2등</t>
  </si>
  <si>
    <t>G 그룹 1등</t>
  </si>
  <si>
    <t>G 그룹 2등</t>
  </si>
  <si>
    <t>H 그룹 1등</t>
  </si>
  <si>
    <t>H 그룹 2등</t>
  </si>
  <si>
    <t>2회전 1 경기 승자</t>
  </si>
  <si>
    <t>2회전 2 경기 승자</t>
  </si>
  <si>
    <t>2회전 3 경기 승자</t>
  </si>
  <si>
    <t>2회전 4 경기 승자</t>
  </si>
  <si>
    <t>2회전 5 경기 승자</t>
  </si>
  <si>
    <t>2회전 6 경기 승자</t>
  </si>
  <si>
    <t>2회전 7 경기 승자</t>
  </si>
  <si>
    <t>2회전 8 경기 승자</t>
  </si>
  <si>
    <r>
      <t>준준결승</t>
    </r>
    <r>
      <rPr>
        <sz val="8"/>
        <rFont val="Arial CYR"/>
        <family val="0"/>
      </rPr>
      <t xml:space="preserve"> 1 </t>
    </r>
    <r>
      <rPr>
        <sz val="8"/>
        <rFont val="돋움"/>
        <family val="3"/>
      </rPr>
      <t>경기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승자</t>
    </r>
  </si>
  <si>
    <r>
      <t>준준결승</t>
    </r>
    <r>
      <rPr>
        <sz val="8"/>
        <rFont val="Arial CYR"/>
        <family val="0"/>
      </rPr>
      <t xml:space="preserve"> 2 경기 승자</t>
    </r>
  </si>
  <si>
    <r>
      <t>준준결승</t>
    </r>
    <r>
      <rPr>
        <sz val="8"/>
        <rFont val="Arial CYR"/>
        <family val="0"/>
      </rPr>
      <t xml:space="preserve"> 3 경기 승자</t>
    </r>
  </si>
  <si>
    <r>
      <t>준준결승</t>
    </r>
    <r>
      <rPr>
        <sz val="8"/>
        <rFont val="Arial CYR"/>
        <family val="0"/>
      </rPr>
      <t xml:space="preserve"> 4 경기 승자</t>
    </r>
  </si>
  <si>
    <r>
      <t>준결승</t>
    </r>
    <r>
      <rPr>
        <sz val="8"/>
        <rFont val="Arial CYR"/>
        <family val="0"/>
      </rPr>
      <t xml:space="preserve"> 1 </t>
    </r>
    <r>
      <rPr>
        <sz val="8"/>
        <rFont val="돋움"/>
        <family val="3"/>
      </rPr>
      <t>경기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승자</t>
    </r>
  </si>
  <si>
    <r>
      <t>준결승</t>
    </r>
    <r>
      <rPr>
        <sz val="8"/>
        <rFont val="Arial CYR"/>
        <family val="0"/>
      </rPr>
      <t xml:space="preserve"> 2 </t>
    </r>
    <r>
      <rPr>
        <sz val="8"/>
        <rFont val="돋움"/>
        <family val="3"/>
      </rPr>
      <t>경기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승자</t>
    </r>
  </si>
  <si>
    <r>
      <t>준결승</t>
    </r>
    <r>
      <rPr>
        <sz val="8"/>
        <rFont val="Arial CYR"/>
        <family val="0"/>
      </rPr>
      <t xml:space="preserve"> 1 </t>
    </r>
    <r>
      <rPr>
        <sz val="8"/>
        <rFont val="돋움"/>
        <family val="3"/>
      </rPr>
      <t>경기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패자</t>
    </r>
  </si>
  <si>
    <r>
      <t>준결승</t>
    </r>
    <r>
      <rPr>
        <sz val="8"/>
        <rFont val="Arial CYR"/>
        <family val="0"/>
      </rPr>
      <t xml:space="preserve"> 2 </t>
    </r>
    <r>
      <rPr>
        <sz val="8"/>
        <rFont val="돋움"/>
        <family val="3"/>
      </rPr>
      <t>경기</t>
    </r>
    <r>
      <rPr>
        <sz val="8"/>
        <rFont val="Arial CYR"/>
        <family val="0"/>
      </rPr>
      <t xml:space="preserve"> </t>
    </r>
    <r>
      <rPr>
        <sz val="8"/>
        <rFont val="돋움"/>
        <family val="3"/>
      </rPr>
      <t>패자</t>
    </r>
  </si>
  <si>
    <t>6월</t>
  </si>
  <si>
    <t>7월</t>
  </si>
  <si>
    <t>홈페이지 방문</t>
  </si>
  <si>
    <t>Last update: May 30, 2006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</si>
</sst>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d\ mmm;@"/>
    <numFmt numFmtId="181" formatCode="h:mm;@"/>
    <numFmt numFmtId="182" formatCode="[$-409]d\-mmm;@"/>
  </numFmts>
  <fonts count="25"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12"/>
      <name val="Tahoma"/>
      <family val="2"/>
    </font>
    <font>
      <sz val="9"/>
      <name val="Tahoma"/>
      <family val="2"/>
    </font>
    <font>
      <sz val="8"/>
      <color indexed="55"/>
      <name val="Tahoma"/>
      <family val="2"/>
    </font>
    <font>
      <b/>
      <sz val="8"/>
      <name val="Arial CYR"/>
      <family val="0"/>
    </font>
    <font>
      <sz val="8"/>
      <color indexed="8"/>
      <name val="Arial"/>
      <family val="2"/>
    </font>
    <font>
      <sz val="10"/>
      <color indexed="63"/>
      <name val="Tahoma"/>
      <family val="2"/>
    </font>
    <font>
      <sz val="8"/>
      <color indexed="8"/>
      <name val="Arial Cyr"/>
      <family val="0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細明體"/>
      <family val="3"/>
    </font>
    <font>
      <sz val="9"/>
      <name val="SimSun"/>
      <family val="0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2"/>
      <name val="Tahoma"/>
      <family val="2"/>
    </font>
    <font>
      <sz val="8"/>
      <name val="돋움"/>
      <family val="3"/>
    </font>
    <font>
      <sz val="8"/>
      <color indexed="8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181" fontId="1" fillId="0" borderId="0" xfId="0" applyNumberFormat="1" applyFont="1" applyAlignment="1" applyProtection="1">
      <alignment vertical="center"/>
      <protection hidden="1"/>
    </xf>
    <xf numFmtId="181" fontId="1" fillId="0" borderId="0" xfId="0" applyNumberFormat="1" applyFont="1" applyBorder="1" applyAlignment="1" applyProtection="1">
      <alignment horizontal="center" vertical="center"/>
      <protection hidden="1"/>
    </xf>
    <xf numFmtId="181" fontId="1" fillId="0" borderId="0" xfId="0" applyNumberFormat="1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0" xfId="20" applyFont="1" applyFill="1" applyBorder="1" applyAlignment="1" applyProtection="1">
      <alignment horizontal="center" vertical="center" wrapText="1"/>
      <protection hidden="1"/>
    </xf>
    <xf numFmtId="180" fontId="1" fillId="0" borderId="0" xfId="0" applyNumberFormat="1" applyFont="1" applyAlignment="1" applyProtection="1">
      <alignment horizontal="right" vertical="center"/>
      <protection hidden="1"/>
    </xf>
    <xf numFmtId="180" fontId="1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20" applyFont="1" applyFill="1" applyBorder="1" applyAlignment="1" applyProtection="1">
      <alignment horizontal="left"/>
      <protection hidden="1"/>
    </xf>
    <xf numFmtId="0" fontId="9" fillId="0" borderId="0" xfId="20" applyFont="1" applyFill="1" applyBorder="1" applyAlignment="1" applyProtection="1">
      <alignment horizontal="right"/>
      <protection hidden="1"/>
    </xf>
    <xf numFmtId="0" fontId="1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182" fontId="1" fillId="0" borderId="0" xfId="0" applyNumberFormat="1" applyFont="1" applyBorder="1" applyAlignment="1" applyProtection="1">
      <alignment horizontal="right" vertical="center" shrinkToFit="1"/>
      <protection hidden="1"/>
    </xf>
    <xf numFmtId="181" fontId="1" fillId="0" borderId="0" xfId="0" applyNumberFormat="1" applyFont="1" applyBorder="1" applyAlignment="1" applyProtection="1">
      <alignment horizontal="center" vertical="center" shrinkToFit="1"/>
      <protection hidden="1"/>
    </xf>
    <xf numFmtId="182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81" fontId="1" fillId="0" borderId="0" xfId="0" applyNumberFormat="1" applyFont="1" applyFill="1" applyBorder="1" applyAlignment="1" applyProtection="1">
      <alignment horizontal="center" vertical="center" shrinkToFit="1"/>
      <protection hidden="1"/>
    </xf>
    <xf numFmtId="182" fontId="1" fillId="0" borderId="0" xfId="0" applyNumberFormat="1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 locked="0"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0" fontId="3" fillId="3" borderId="1" xfId="0" applyNumberFormat="1" applyFont="1" applyFill="1" applyBorder="1" applyAlignment="1" applyProtection="1">
      <alignment horizontal="center" vertical="center"/>
      <protection hidden="1"/>
    </xf>
    <xf numFmtId="180" fontId="3" fillId="3" borderId="2" xfId="0" applyNumberFormat="1" applyFont="1" applyFill="1" applyBorder="1" applyAlignment="1" applyProtection="1">
      <alignment horizontal="center" vertical="center"/>
      <protection hidden="1"/>
    </xf>
    <xf numFmtId="180" fontId="3" fillId="3" borderId="3" xfId="0" applyNumberFormat="1" applyFont="1" applyFill="1" applyBorder="1" applyAlignment="1" applyProtection="1">
      <alignment horizontal="center" vertical="center"/>
      <protection hidden="1"/>
    </xf>
    <xf numFmtId="180" fontId="3" fillId="3" borderId="6" xfId="0" applyNumberFormat="1" applyFont="1" applyFill="1" applyBorder="1" applyAlignment="1" applyProtection="1">
      <alignment horizontal="center" vertical="center"/>
      <protection hidden="1"/>
    </xf>
    <xf numFmtId="180" fontId="3" fillId="3" borderId="7" xfId="0" applyNumberFormat="1" applyFont="1" applyFill="1" applyBorder="1" applyAlignment="1" applyProtection="1">
      <alignment horizontal="center" vertical="center"/>
      <protection hidden="1"/>
    </xf>
    <xf numFmtId="180" fontId="3" fillId="3" borderId="8" xfId="0" applyNumberFormat="1" applyFont="1" applyFill="1" applyBorder="1" applyAlignment="1" applyProtection="1">
      <alignment horizontal="center" vertical="center"/>
      <protection hidden="1"/>
    </xf>
    <xf numFmtId="18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80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2" fillId="4" borderId="12" xfId="20" applyFont="1" applyFill="1" applyBorder="1" applyAlignment="1" applyProtection="1">
      <alignment horizontal="center" vertical="center" wrapText="1"/>
      <protection hidden="1"/>
    </xf>
    <xf numFmtId="0" fontId="22" fillId="4" borderId="13" xfId="20" applyFont="1" applyFill="1" applyBorder="1" applyAlignment="1" applyProtection="1">
      <alignment horizontal="center" vertical="center" wrapText="1"/>
      <protection hidden="1"/>
    </xf>
    <xf numFmtId="0" fontId="22" fillId="4" borderId="1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/>
        <i val="0"/>
        <color rgb="FF0000FF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1162050</xdr:colOff>
      <xdr:row>64</xdr:row>
      <xdr:rowOff>0</xdr:rowOff>
    </xdr:from>
    <xdr:to>
      <xdr:col>14</xdr:col>
      <xdr:colOff>152400</xdr:colOff>
      <xdr:row>81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296650"/>
          <a:ext cx="2857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57150</xdr:rowOff>
    </xdr:from>
    <xdr:to>
      <xdr:col>2</xdr:col>
      <xdr:colOff>66675</xdr:colOff>
      <xdr:row>5</xdr:row>
      <xdr:rowOff>114300</xdr:rowOff>
    </xdr:to>
    <xdr:pic>
      <xdr:nvPicPr>
        <xdr:cNvPr id="2" name="GM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95375"/>
          <a:ext cx="1171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2</xdr:row>
      <xdr:rowOff>180975</xdr:rowOff>
    </xdr:from>
    <xdr:to>
      <xdr:col>15</xdr:col>
      <xdr:colOff>9525</xdr:colOff>
      <xdr:row>2</xdr:row>
      <xdr:rowOff>381000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657225"/>
          <a:ext cx="121920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world-cup-2006.html?sheet" TargetMode="External" /><Relationship Id="rId2" Type="http://schemas.openxmlformats.org/officeDocument/2006/relationships/hyperlink" Target="http://www.excely.com/world-cup-2006.html?sheet" TargetMode="External" /><Relationship Id="rId3" Type="http://schemas.openxmlformats.org/officeDocument/2006/relationships/hyperlink" Target="http://www.excely.com/world-cup-2006.html?sheet" TargetMode="External" /><Relationship Id="rId4" Type="http://schemas.openxmlformats.org/officeDocument/2006/relationships/drawing" Target="../drawings/drawing1.xml" /><Relationship Id="rId5" Type="http://schemas.openxmlformats.org/officeDocument/2006/relationships/image" Target="../media/image4.png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Z90"/>
  <sheetViews>
    <sheetView showGridLines="0" tabSelected="1" workbookViewId="0" topLeftCell="A1">
      <selection activeCell="B12" sqref="B12"/>
    </sheetView>
  </sheetViews>
  <sheetFormatPr defaultColWidth="9.140625" defaultRowHeight="12"/>
  <cols>
    <col min="1" max="1" width="9.140625" style="21" customWidth="1"/>
    <col min="2" max="2" width="9.140625" style="16" customWidth="1"/>
    <col min="3" max="3" width="30.00390625" style="3" customWidth="1"/>
    <col min="4" max="5" width="4.00390625" style="2" customWidth="1"/>
    <col min="6" max="6" width="30.00390625" style="4" customWidth="1"/>
    <col min="7" max="8" width="4.00390625" style="1" customWidth="1"/>
    <col min="9" max="9" width="1.421875" style="1" customWidth="1"/>
    <col min="10" max="10" width="23.140625" style="1" customWidth="1"/>
    <col min="11" max="14" width="8.7109375" style="2" customWidth="1"/>
    <col min="15" max="15" width="9.28125" style="2" customWidth="1"/>
    <col min="16" max="16" width="9.28125" style="28" customWidth="1"/>
    <col min="17" max="17" width="7.421875" style="44" hidden="1" customWidth="1"/>
    <col min="18" max="18" width="15.421875" style="45" hidden="1" customWidth="1"/>
    <col min="19" max="24" width="7.8515625" style="46" hidden="1" customWidth="1"/>
    <col min="25" max="25" width="14.7109375" style="46" hidden="1" customWidth="1"/>
    <col min="26" max="26" width="5.8515625" style="45" hidden="1" customWidth="1"/>
    <col min="27" max="27" width="22.7109375" style="45" hidden="1" customWidth="1"/>
    <col min="28" max="32" width="3.421875" style="46" hidden="1" customWidth="1"/>
    <col min="33" max="33" width="4.421875" style="45" hidden="1" customWidth="1"/>
    <col min="34" max="34" width="4.7109375" style="45" hidden="1" customWidth="1"/>
    <col min="35" max="35" width="9.28125" style="45" hidden="1" customWidth="1"/>
    <col min="36" max="36" width="2.421875" style="45" hidden="1" customWidth="1"/>
    <col min="37" max="37" width="24.7109375" style="45" hidden="1" customWidth="1"/>
    <col min="38" max="38" width="2.7109375" style="45" hidden="1" customWidth="1"/>
    <col min="39" max="39" width="19.140625" style="45" hidden="1" customWidth="1"/>
    <col min="40" max="40" width="2.7109375" style="45" hidden="1" customWidth="1"/>
    <col min="41" max="41" width="24.7109375" style="45" hidden="1" customWidth="1"/>
    <col min="42" max="42" width="2.7109375" style="45" hidden="1" customWidth="1"/>
    <col min="43" max="43" width="19.28125" style="45" hidden="1" customWidth="1"/>
    <col min="44" max="44" width="2.7109375" style="45" hidden="1" customWidth="1"/>
    <col min="45" max="48" width="15.7109375" style="45" hidden="1" customWidth="1"/>
    <col min="49" max="49" width="19.28125" style="45" hidden="1" customWidth="1"/>
    <col min="50" max="50" width="2.7109375" style="45" hidden="1" customWidth="1"/>
    <col min="51" max="51" width="19.28125" style="45" hidden="1" customWidth="1"/>
    <col min="52" max="52" width="2.7109375" style="45" hidden="1" customWidth="1"/>
    <col min="53" max="53" width="19.28125" style="45" hidden="1" customWidth="1"/>
    <col min="54" max="54" width="2.7109375" style="45" hidden="1" customWidth="1"/>
    <col min="55" max="55" width="19.28125" style="45" hidden="1" customWidth="1"/>
    <col min="56" max="56" width="2.7109375" style="45" hidden="1" customWidth="1"/>
    <col min="57" max="57" width="13.8515625" style="45" hidden="1" customWidth="1"/>
    <col min="58" max="58" width="5.421875" style="45" hidden="1" customWidth="1"/>
    <col min="59" max="59" width="10.28125" style="45" hidden="1" customWidth="1"/>
    <col min="60" max="60" width="9.28125" style="45" hidden="1" customWidth="1"/>
    <col min="61" max="61" width="9.28125" style="28" customWidth="1"/>
    <col min="62" max="82" width="9.28125" style="1" customWidth="1"/>
    <col min="105" max="16384" width="9.28125" style="1" customWidth="1"/>
  </cols>
  <sheetData>
    <row r="1" spans="1:104" ht="30.75" customHeight="1">
      <c r="A1" s="76" t="str">
        <f>INDEX(T,2,language)</f>
        <v>جدول مسابقات فینال جام جهانی 2006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5:104" ht="6.75" customHeight="1" thickBot="1">
      <c r="E2" s="1"/>
      <c r="F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30.75" customHeight="1" thickBot="1">
      <c r="A3" s="23" t="str">
        <f>INDEX(T,82,language)</f>
        <v>Last update: May 30, 2006</v>
      </c>
      <c r="B3" s="20"/>
      <c r="C3" s="20"/>
      <c r="D3" s="77" t="str">
        <f>CONCATENATE(INDEX(T,83,language),": www.excely.com")</f>
        <v>نمایش صفه اصلی: www.excely.com</v>
      </c>
      <c r="E3" s="78"/>
      <c r="F3" s="78"/>
      <c r="G3" s="78"/>
      <c r="H3" s="78"/>
      <c r="I3" s="78"/>
      <c r="J3" s="78"/>
      <c r="K3" s="78"/>
      <c r="L3" s="79"/>
      <c r="M3" s="20"/>
      <c r="N3" s="20"/>
      <c r="O3" s="24"/>
      <c r="P3" s="30"/>
      <c r="Q3" s="45"/>
      <c r="R3" s="44"/>
      <c r="S3" s="45"/>
      <c r="Z3" s="46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23" t="s">
        <v>885</v>
      </c>
      <c r="G4" s="2"/>
      <c r="H4" s="2"/>
      <c r="I4" s="2"/>
      <c r="K4" s="1"/>
      <c r="P4" s="29"/>
      <c r="Q4" s="45"/>
      <c r="R4" s="44"/>
      <c r="S4" s="45"/>
      <c r="Z4" s="46"/>
      <c r="AJ4" s="46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1.25" customHeight="1">
      <c r="A5" s="56" t="str">
        <f>INDEX(T,41,language)</f>
        <v>مرحله اول</v>
      </c>
      <c r="B5" s="57"/>
      <c r="C5" s="57"/>
      <c r="D5" s="57"/>
      <c r="E5" s="57"/>
      <c r="F5" s="57"/>
      <c r="G5" s="57"/>
      <c r="H5" s="58"/>
      <c r="J5" s="68" t="str">
        <f>CONCATENATE(INDEX(T,40,language)," A")</f>
        <v>گروه A</v>
      </c>
      <c r="K5" s="70" t="str">
        <f>INDEX(T,35,language)</f>
        <v>برد</v>
      </c>
      <c r="L5" s="70" t="str">
        <f>INDEX(T,36,language)</f>
        <v>تساوی</v>
      </c>
      <c r="M5" s="70" t="str">
        <f>INDEX(T,37,language)</f>
        <v>باخت</v>
      </c>
      <c r="N5" s="70" t="str">
        <f>INDEX(T,38,language)</f>
        <v>خورده – زده</v>
      </c>
      <c r="O5" s="72" t="str">
        <f>INDEX(T,39,language)</f>
        <v>امتیاز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59"/>
      <c r="B6" s="60"/>
      <c r="C6" s="60"/>
      <c r="D6" s="60"/>
      <c r="E6" s="60"/>
      <c r="F6" s="60"/>
      <c r="G6" s="60"/>
      <c r="H6" s="61"/>
      <c r="J6" s="69"/>
      <c r="K6" s="71"/>
      <c r="L6" s="71"/>
      <c r="M6" s="71"/>
      <c r="N6" s="71"/>
      <c r="O6" s="73"/>
      <c r="Q6" s="44" t="s">
        <v>6</v>
      </c>
      <c r="R6" s="44"/>
      <c r="S6" s="44" t="s">
        <v>7</v>
      </c>
      <c r="T6" s="44" t="s">
        <v>8</v>
      </c>
      <c r="U6" s="44" t="s">
        <v>9</v>
      </c>
      <c r="V6" s="44" t="s">
        <v>10</v>
      </c>
      <c r="W6" s="44" t="s">
        <v>11</v>
      </c>
      <c r="X6" s="44" t="s">
        <v>5</v>
      </c>
      <c r="Y6" s="44" t="s">
        <v>51</v>
      </c>
      <c r="BE6" s="47" t="s">
        <v>66</v>
      </c>
      <c r="BF6" s="45">
        <f>VLOOKUP(BE6,BE7:BF30,2,FALSE)</f>
        <v>3</v>
      </c>
      <c r="BG6" s="47" t="s">
        <v>708</v>
      </c>
      <c r="BH6" s="45">
        <f>VLOOKUP(BG6,BG7:BH30,2,FALSE)</f>
        <v>19</v>
      </c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3.5" customHeight="1" thickBot="1">
      <c r="A7" s="38" t="str">
        <f>CONCATENATE(9+IF(GMT&gt;7,1,0)," ",INDEX(T,80,language))</f>
        <v>9 ژوئن</v>
      </c>
      <c r="B7" s="39">
        <f>TIME(16+GMT,0,0)</f>
        <v>0.7916666666666666</v>
      </c>
      <c r="C7" s="33" t="str">
        <f>R7</f>
        <v>آلمان</v>
      </c>
      <c r="D7" s="27">
        <v>2</v>
      </c>
      <c r="E7" s="27">
        <v>1</v>
      </c>
      <c r="F7" s="35" t="str">
        <f>R8</f>
        <v>كاستاريكا</v>
      </c>
      <c r="J7" s="6" t="str">
        <f>VLOOKUP(4,Q7:X10,2,FALSE)</f>
        <v>اکوادور</v>
      </c>
      <c r="K7" s="7">
        <f>VLOOKUP(4,Q7:X10,3,FALSE)</f>
        <v>1</v>
      </c>
      <c r="L7" s="7">
        <f>VLOOKUP(4,Q7:X10,4,FALSE)</f>
        <v>0</v>
      </c>
      <c r="M7" s="7">
        <f>VLOOKUP(4,Q7:X10,5,FALSE)</f>
        <v>0</v>
      </c>
      <c r="N7" s="7" t="str">
        <f>CONCATENATE(VLOOKUP(4,Q7:X10,6,FALSE)," - ",VLOOKUP(4,Q7:X10,7,FALSE))</f>
        <v>2 - 0</v>
      </c>
      <c r="O7" s="8">
        <f>VLOOKUP(4,Q7:X10,8,FALSE)</f>
        <v>3</v>
      </c>
      <c r="Q7" s="44">
        <f>IF(Y7&gt;Y7,1,0)+IF(Y7&gt;Y8,1,0)+IF(Y7&gt;Y9,1,0)+IF(Y7&gt;Y10,1,0)+1</f>
        <v>3</v>
      </c>
      <c r="R7" s="45" t="str">
        <f>INDEX(T,3,language)</f>
        <v>آلمان</v>
      </c>
      <c r="S7" s="46">
        <f>COUNTIF(AS7:AT54,CONCATENATE(R7,"_win"))</f>
        <v>1</v>
      </c>
      <c r="T7" s="46">
        <f>COUNTIF(AS7:AT54,CONCATENATE(R7,"_draw"))</f>
        <v>0</v>
      </c>
      <c r="U7" s="46">
        <f>COUNTIF(AS7:AT54,CONCATENATE(R7,"_lose"))</f>
        <v>0</v>
      </c>
      <c r="V7" s="46">
        <f>SUMIF(AO7:AO54,CONCATENATE("=",R7),AP7:AP54)+SUMIF(AK7:AK54,CONCATENATE("=",R7),AL7:AL54)</f>
        <v>2</v>
      </c>
      <c r="W7" s="46">
        <f>SUMIF(AQ7:AQ54,CONCATENATE("=",R7),AR7:AR54)+SUMIF(AM7:AM54,CONCATENATE("=",R7),AN7:AN54)</f>
        <v>1</v>
      </c>
      <c r="X7" s="46">
        <f>S7*3+T7</f>
        <v>3</v>
      </c>
      <c r="Y7" s="46">
        <f>0.4+AH7+V7*1000+(V7-W7)*100000+X7*10000000</f>
        <v>30102000.4</v>
      </c>
      <c r="Z7" s="45">
        <f>IF(COUNTIF(X7:X10,CONCATENATE("=",X7))=1,0,COUNTIF(X7:X10,CONCATENATE("=",X7)))*X7</f>
        <v>6</v>
      </c>
      <c r="AA7" s="45" t="str">
        <f>IF(SUM(S7:U10)=12,J7,INDEX(T,48,language))</f>
        <v>برنده گروه A</v>
      </c>
      <c r="AB7" s="46">
        <f>IF(Z7=Z11,X7,IF(Z8=Z11,X8,IF(Z9=Z11,X9,X10)))</f>
        <v>3</v>
      </c>
      <c r="AC7" s="46">
        <f>IF(X7=AB7,1,0)</f>
        <v>1</v>
      </c>
      <c r="AD7" s="46">
        <f>COUNTIF(AU7:AV54,CONCATENATE(R7,"_win"))</f>
        <v>0</v>
      </c>
      <c r="AE7" s="46">
        <f>SUMIF(BA7:BA54,CONCATENATE("=",R7),BB7:BB54)+SUMIF(AW7:AW54,CONCATENATE("=",R7),AX7:AX54)</f>
        <v>0</v>
      </c>
      <c r="AF7" s="46">
        <f>SUMIF(BC7:BC54,CONCATENATE("=",R7),BD7:BD54)+SUMIF(AY7:AY54,CONCATENATE("=",R7),AZ7:AZ54)</f>
        <v>0</v>
      </c>
      <c r="AG7" s="45">
        <f>300*AD7+(AE7-AF7)*10+AE7</f>
        <v>0</v>
      </c>
      <c r="AH7" s="45">
        <f>IF(AG7&gt;0,AG7,0)</f>
        <v>0</v>
      </c>
      <c r="AJ7" s="45">
        <f>VLOOKUP(F7,R7:AC59,12,FALSE)+VLOOKUP(C7,R7:AC59,12,FALSE)</f>
        <v>1</v>
      </c>
      <c r="AK7" s="45" t="str">
        <f aca="true" t="shared" si="0" ref="AK7:AK54">C7</f>
        <v>آلمان</v>
      </c>
      <c r="AL7" s="45">
        <f aca="true" t="shared" si="1" ref="AL7:AL54">D7</f>
        <v>2</v>
      </c>
      <c r="AM7" s="45" t="str">
        <f aca="true" t="shared" si="2" ref="AM7:AM54">C7</f>
        <v>آلمان</v>
      </c>
      <c r="AN7" s="45">
        <f aca="true" t="shared" si="3" ref="AN7:AN54">E7</f>
        <v>1</v>
      </c>
      <c r="AO7" s="45" t="str">
        <f aca="true" t="shared" si="4" ref="AO7:AO54">F7</f>
        <v>كاستاريكا</v>
      </c>
      <c r="AP7" s="45">
        <f aca="true" t="shared" si="5" ref="AP7:AP54">E7</f>
        <v>1</v>
      </c>
      <c r="AQ7" s="45" t="str">
        <f aca="true" t="shared" si="6" ref="AQ7:AQ54">F7</f>
        <v>كاستاريكا</v>
      </c>
      <c r="AR7" s="45">
        <f aca="true" t="shared" si="7" ref="AR7:AR54">D7</f>
        <v>2</v>
      </c>
      <c r="AS7" s="45" t="str">
        <f aca="true" t="shared" si="8" ref="AS7:AS54">IF(D7="","",IF(E7="","",IF(D7&gt;E7,CONCATENATE(C7,"_win"),IF(D7&lt;E7,CONCATENATE(C7,"_lose"),CONCATENATE(C7,"_draw")))))</f>
        <v>آلمان_win</v>
      </c>
      <c r="AT7" s="45" t="str">
        <f aca="true" t="shared" si="9" ref="AT7:AT54">IF(D7="","",IF(E7="","",IF(D7&gt;E7,CONCATENATE(F7,"_lose"),IF(D7&lt;E7,CONCATENATE(F7,"_win"),CONCATENATE(F7,"_draw")))))</f>
        <v>كاستاريكا_lose</v>
      </c>
      <c r="AU7" s="45">
        <f aca="true" t="shared" si="10" ref="AU7:AU54">IF(AJ7=2,IF(D7="","",IF(E7="","",IF(D7&gt;E7,CONCATENATE(C7,"_win"),IF(D7&lt;E7,CONCATENATE(C7,"_lose"),CONCATENATE(C7,"_draw"))))),"")</f>
      </c>
      <c r="AV7" s="45">
        <f aca="true" t="shared" si="11" ref="AV7:AV54">IF(AJ7=2,IF(D7="","",IF(E7="","",IF(D7&gt;E7,CONCATENATE(F7,"_lose"),IF(D7&lt;E7,CONCATENATE(F7,"_win"),CONCATENATE(F7,"_draw"))))),"")</f>
      </c>
      <c r="AW7" s="45">
        <f aca="true" t="shared" si="12" ref="AW7:AW54">IF(AJ7=2,AK7,"")</f>
      </c>
      <c r="AX7" s="45">
        <f aca="true" t="shared" si="13" ref="AX7:AX54">IF(AJ7=2,AL7,"")</f>
      </c>
      <c r="AY7" s="45">
        <f aca="true" t="shared" si="14" ref="AY7:AY54">IF(AJ7=2,AM7,"")</f>
      </c>
      <c r="AZ7" s="45">
        <f aca="true" t="shared" si="15" ref="AZ7:AZ54">IF(AJ7=2,AN7,"")</f>
      </c>
      <c r="BA7" s="45">
        <f aca="true" t="shared" si="16" ref="BA7:BA54">IF(AJ7=2,AO7,"")</f>
      </c>
      <c r="BB7" s="45">
        <f aca="true" t="shared" si="17" ref="BB7:BB54">IF(AJ7=2,AP7,"")</f>
      </c>
      <c r="BC7" s="45">
        <f aca="true" t="shared" si="18" ref="BC7:BC54">IF(AJ7=2,AQ7,"")</f>
      </c>
      <c r="BD7" s="45">
        <f aca="true" t="shared" si="19" ref="BD7:BD54">IF(AJ7=2,AR7,"")</f>
      </c>
      <c r="BE7" s="45" t="s">
        <v>52</v>
      </c>
      <c r="BF7" s="45">
        <v>-11</v>
      </c>
      <c r="BG7" s="45" t="s">
        <v>76</v>
      </c>
      <c r="BH7" s="45">
        <v>1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3.5" customHeight="1" thickBot="1">
      <c r="A8" s="38" t="str">
        <f>CONCATENATE(9+IF(GMT&gt;4,1,0)," ",INDEX(T,80,language))</f>
        <v>9 ژوئن</v>
      </c>
      <c r="B8" s="39">
        <f>TIME(19+GMT,0,0)</f>
        <v>0.9166666666666666</v>
      </c>
      <c r="C8" s="34" t="str">
        <f>R9</f>
        <v>لهستان</v>
      </c>
      <c r="D8" s="27">
        <v>0</v>
      </c>
      <c r="E8" s="27">
        <v>2</v>
      </c>
      <c r="F8" s="35" t="str">
        <f>R10</f>
        <v>اکوادور</v>
      </c>
      <c r="J8" s="10" t="str">
        <f>VLOOKUP(3,Q7:X10,2,FALSE)</f>
        <v>آلمان</v>
      </c>
      <c r="K8" s="11">
        <f>VLOOKUP(3,Q7:X10,3,FALSE)</f>
        <v>1</v>
      </c>
      <c r="L8" s="11">
        <f>VLOOKUP(3,Q7:X10,4,FALSE)</f>
        <v>0</v>
      </c>
      <c r="M8" s="11">
        <f>VLOOKUP(3,Q7:X10,5,FALSE)</f>
        <v>0</v>
      </c>
      <c r="N8" s="11" t="str">
        <f>CONCATENATE(VLOOKUP(3,Q7:X10,6,FALSE)," - ",VLOOKUP(3,Q7:X10,7,FALSE))</f>
        <v>2 - 1</v>
      </c>
      <c r="O8" s="12">
        <f>VLOOKUP(3,Q7:X10,8,FALSE)</f>
        <v>3</v>
      </c>
      <c r="Q8" s="44">
        <f>IF(Y8&gt;Y7,1,0)+IF(Y8&gt;Y8,1,0)+IF(Y8&gt;Y9,1,0)+IF(Y8&gt;Y10,1,0)+1</f>
        <v>2</v>
      </c>
      <c r="R8" s="45" t="str">
        <f>INDEX(T,4,language)</f>
        <v>كاستاريكا</v>
      </c>
      <c r="S8" s="46">
        <f>COUNTIF(AS7:AT54,CONCATENATE(R8,"_win"))</f>
        <v>0</v>
      </c>
      <c r="T8" s="46">
        <f>COUNTIF(AS7:AT54,CONCATENATE(R8,"_draw"))</f>
        <v>0</v>
      </c>
      <c r="U8" s="46">
        <f>COUNTIF(AS7:AT54,CONCATENATE(R8,"_lose"))</f>
        <v>1</v>
      </c>
      <c r="V8" s="46">
        <f>SUMIF(AO7:AO54,CONCATENATE("=",R8),AP7:AP54)+SUMIF(AK7:AK54,CONCATENATE("=",R8),AL7:AL54)</f>
        <v>1</v>
      </c>
      <c r="W8" s="46">
        <f>SUMIF(AQ7:AQ54,CONCATENATE("=",R8),AR7:AR54)+SUMIF(AM7:AM54,CONCATENATE("=",R8),AN7:AN54)</f>
        <v>2</v>
      </c>
      <c r="X8" s="46">
        <f>S8*3+T8</f>
        <v>0</v>
      </c>
      <c r="Y8" s="46">
        <f>0.3+AH8+V8*1000+(V8-W8)*100000+X8*10000000</f>
        <v>-98999.7</v>
      </c>
      <c r="Z8" s="45">
        <f>IF(COUNTIF(X7:X10,CONCATENATE("=",X8))=1,0,COUNTIF(X7:X10,CONCATENATE("=",X8)))*X8</f>
        <v>0</v>
      </c>
      <c r="AA8" s="45" t="str">
        <f>IF(SUM(S7:U10)=12,J8,INDEX(T,49,language))</f>
        <v>دوم گروه A</v>
      </c>
      <c r="AC8" s="46">
        <f>IF(X8=AB7,1,0)</f>
        <v>0</v>
      </c>
      <c r="AD8" s="46">
        <f>COUNTIF(AU7:AV54,CONCATENATE(R8,"_win"))</f>
        <v>0</v>
      </c>
      <c r="AE8" s="46">
        <f>SUMIF(BA7:BA54,CONCATENATE("=",R8),BB7:BB54)+SUMIF(AW7:AW54,CONCATENATE("=",R8),AX7:AX54)</f>
        <v>0</v>
      </c>
      <c r="AF8" s="46">
        <f>SUMIF(BC7:BC54,CONCATENATE("=",R8),BD7:BD54)+SUMIF(AY7:AY54,CONCATENATE("=",R8),AZ7:AZ54)</f>
        <v>0</v>
      </c>
      <c r="AG8" s="45">
        <f>300*AD8+(AE8-AF8)*10+AE8</f>
        <v>0</v>
      </c>
      <c r="AH8" s="45">
        <f>IF(AG8&gt;0,AG8,0)</f>
        <v>0</v>
      </c>
      <c r="AJ8" s="45">
        <f>VLOOKUP(F8,R7:AC59,12,FALSE)+VLOOKUP(C8,R7:AC59,12,FALSE)</f>
        <v>1</v>
      </c>
      <c r="AK8" s="45" t="str">
        <f t="shared" si="0"/>
        <v>لهستان</v>
      </c>
      <c r="AL8" s="45">
        <f t="shared" si="1"/>
        <v>0</v>
      </c>
      <c r="AM8" s="45" t="str">
        <f t="shared" si="2"/>
        <v>لهستان</v>
      </c>
      <c r="AN8" s="45">
        <f t="shared" si="3"/>
        <v>2</v>
      </c>
      <c r="AO8" s="45" t="str">
        <f t="shared" si="4"/>
        <v>اکوادور</v>
      </c>
      <c r="AP8" s="45">
        <f t="shared" si="5"/>
        <v>2</v>
      </c>
      <c r="AQ8" s="45" t="str">
        <f t="shared" si="6"/>
        <v>اکوادور</v>
      </c>
      <c r="AR8" s="45">
        <f t="shared" si="7"/>
        <v>0</v>
      </c>
      <c r="AS8" s="45" t="str">
        <f t="shared" si="8"/>
        <v>لهستان_lose</v>
      </c>
      <c r="AT8" s="45" t="str">
        <f t="shared" si="9"/>
        <v>اکوادور_win</v>
      </c>
      <c r="AU8" s="45">
        <f t="shared" si="10"/>
      </c>
      <c r="AV8" s="45">
        <f t="shared" si="11"/>
      </c>
      <c r="AW8" s="45">
        <f t="shared" si="12"/>
      </c>
      <c r="AX8" s="45">
        <f t="shared" si="13"/>
      </c>
      <c r="AY8" s="45">
        <f t="shared" si="14"/>
      </c>
      <c r="AZ8" s="45">
        <f t="shared" si="15"/>
      </c>
      <c r="BA8" s="45">
        <f t="shared" si="16"/>
      </c>
      <c r="BB8" s="45">
        <f t="shared" si="17"/>
      </c>
      <c r="BC8" s="45">
        <f t="shared" si="18"/>
      </c>
      <c r="BD8" s="45">
        <f t="shared" si="19"/>
      </c>
      <c r="BE8" s="45" t="s">
        <v>53</v>
      </c>
      <c r="BF8" s="45">
        <v>-10</v>
      </c>
      <c r="BG8" s="45" t="s">
        <v>77</v>
      </c>
      <c r="BH8" s="45">
        <v>2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3.5" customHeight="1" thickBot="1">
      <c r="A9" s="38" t="str">
        <f>CONCATENATE(10+IF(GMT&gt;10,1,0)," ",INDEX(T,80,language))</f>
        <v>10 ژوئن</v>
      </c>
      <c r="B9" s="39">
        <f>TIME(13+GMT,0,0)</f>
        <v>0.6666666666666666</v>
      </c>
      <c r="C9" s="34" t="str">
        <f>R14</f>
        <v>انگلستان</v>
      </c>
      <c r="D9" s="27">
        <v>1</v>
      </c>
      <c r="E9" s="27">
        <v>0</v>
      </c>
      <c r="F9" s="35" t="str">
        <f>R15</f>
        <v>پاراگوئه</v>
      </c>
      <c r="J9" s="10" t="str">
        <f>VLOOKUP(2,Q7:X10,2,FALSE)</f>
        <v>كاستاريكا</v>
      </c>
      <c r="K9" s="11">
        <f>VLOOKUP(2,Q7:X10,3,FALSE)</f>
        <v>0</v>
      </c>
      <c r="L9" s="11">
        <f>VLOOKUP(2,Q7:X10,4,FALSE)</f>
        <v>0</v>
      </c>
      <c r="M9" s="11">
        <f>VLOOKUP(2,Q7:X10,5,FALSE)</f>
        <v>1</v>
      </c>
      <c r="N9" s="11" t="str">
        <f>CONCATENATE(VLOOKUP(2,Q7:X10,6,FALSE)," - ",VLOOKUP(2,Q7:X10,7,FALSE))</f>
        <v>1 - 2</v>
      </c>
      <c r="O9" s="12">
        <f>VLOOKUP(2,Q7:X10,8,FALSE)</f>
        <v>0</v>
      </c>
      <c r="Q9" s="44">
        <f>IF(Y9&gt;Y7,1,0)+IF(Y9&gt;Y8,1,0)+IF(Y9&gt;Y9,1,0)+IF(Y9&gt;Y10,1,0)+1</f>
        <v>1</v>
      </c>
      <c r="R9" s="45" t="str">
        <f>INDEX(T,5,language)</f>
        <v>لهستان</v>
      </c>
      <c r="S9" s="46">
        <f>COUNTIF(AS7:AT54,CONCATENATE(R9,"_win"))</f>
        <v>0</v>
      </c>
      <c r="T9" s="46">
        <f>COUNTIF(AS7:AT54,CONCATENATE(R9,"_draw"))</f>
        <v>0</v>
      </c>
      <c r="U9" s="46">
        <f>COUNTIF(AS7:AT54,CONCATENATE(R9,"_lose"))</f>
        <v>1</v>
      </c>
      <c r="V9" s="46">
        <f>SUMIF(AO7:AO54,CONCATENATE("=",R9),AP7:AP54)+SUMIF(AK7:AK54,CONCATENATE("=",R9),AL7:AL54)</f>
        <v>0</v>
      </c>
      <c r="W9" s="46">
        <f>SUMIF(AQ7:AQ54,CONCATENATE("=",R9),AR7:AR54)+SUMIF(AM7:AM54,CONCATENATE("=",R9),AN7:AN54)</f>
        <v>2</v>
      </c>
      <c r="X9" s="46">
        <f>S9*3+T9</f>
        <v>0</v>
      </c>
      <c r="Y9" s="46">
        <f>0.2+AH9+V9*1000+(V9-W9)*100000+X9*10000000</f>
        <v>-199999.8</v>
      </c>
      <c r="Z9" s="45">
        <f>IF(COUNTIF(X7:X10,CONCATENATE("=",X9))=1,0,COUNTIF(X7:X10,CONCATENATE("=",X9)))*X9</f>
        <v>0</v>
      </c>
      <c r="AC9" s="46">
        <f>IF(X9=AB7,1,0)</f>
        <v>0</v>
      </c>
      <c r="AD9" s="46">
        <f>COUNTIF(AU7:AV54,CONCATENATE(R9,"_win"))</f>
        <v>0</v>
      </c>
      <c r="AE9" s="46">
        <f>SUMIF(BA7:BA54,CONCATENATE("=",R9),BB7:BB54)+SUMIF(AW7:AW54,CONCATENATE("=",R9),AX7:AX54)</f>
        <v>0</v>
      </c>
      <c r="AF9" s="46">
        <f>SUMIF(BC7:BC54,CONCATENATE("=",R9),BD7:BD54)+SUMIF(AY7:AY54,CONCATENATE("=",R9),AZ7:AZ54)</f>
        <v>0</v>
      </c>
      <c r="AG9" s="45">
        <f>300*AD9+(AE9-AF9)*10+AE9</f>
        <v>0</v>
      </c>
      <c r="AH9" s="45">
        <f>IF(AG9&gt;0,AG9,0)</f>
        <v>0</v>
      </c>
      <c r="AJ9" s="45">
        <f>VLOOKUP(F9,R7:AC59,12,FALSE)+VLOOKUP(C9,R7:AC59,12,FALSE)</f>
        <v>0</v>
      </c>
      <c r="AK9" s="45" t="str">
        <f t="shared" si="0"/>
        <v>انگلستان</v>
      </c>
      <c r="AL9" s="45">
        <f t="shared" si="1"/>
        <v>1</v>
      </c>
      <c r="AM9" s="45" t="str">
        <f t="shared" si="2"/>
        <v>انگلستان</v>
      </c>
      <c r="AN9" s="45">
        <f t="shared" si="3"/>
        <v>0</v>
      </c>
      <c r="AO9" s="45" t="str">
        <f t="shared" si="4"/>
        <v>پاراگوئه</v>
      </c>
      <c r="AP9" s="45">
        <f t="shared" si="5"/>
        <v>0</v>
      </c>
      <c r="AQ9" s="45" t="str">
        <f t="shared" si="6"/>
        <v>پاراگوئه</v>
      </c>
      <c r="AR9" s="45">
        <f t="shared" si="7"/>
        <v>1</v>
      </c>
      <c r="AS9" s="45" t="str">
        <f t="shared" si="8"/>
        <v>انگلستان_win</v>
      </c>
      <c r="AT9" s="45" t="str">
        <f t="shared" si="9"/>
        <v>پاراگوئه_lose</v>
      </c>
      <c r="AU9" s="45">
        <f t="shared" si="10"/>
      </c>
      <c r="AV9" s="45">
        <f t="shared" si="11"/>
      </c>
      <c r="AW9" s="45">
        <f t="shared" si="12"/>
      </c>
      <c r="AX9" s="45">
        <f t="shared" si="13"/>
      </c>
      <c r="AY9" s="45">
        <f t="shared" si="14"/>
      </c>
      <c r="AZ9" s="45">
        <f t="shared" si="15"/>
      </c>
      <c r="BA9" s="45">
        <f t="shared" si="16"/>
      </c>
      <c r="BB9" s="45">
        <f t="shared" si="17"/>
      </c>
      <c r="BC9" s="45">
        <f t="shared" si="18"/>
      </c>
      <c r="BD9" s="45">
        <f t="shared" si="19"/>
      </c>
      <c r="BE9" s="45" t="s">
        <v>54</v>
      </c>
      <c r="BF9" s="45">
        <v>-9</v>
      </c>
      <c r="BG9" s="45" t="s">
        <v>179</v>
      </c>
      <c r="BH9" s="45">
        <v>3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3.5" customHeight="1" thickBot="1">
      <c r="A10" s="38" t="str">
        <f>CONCATENATE(10+IF(GMT&gt;7,1,0)," ",INDEX(T,80,language))</f>
        <v>10 ژوئن</v>
      </c>
      <c r="B10" s="39">
        <f>TIME(16+GMT,0,0)</f>
        <v>0.7916666666666666</v>
      </c>
      <c r="C10" s="34" t="str">
        <f>R16</f>
        <v>ترینیداد و توباگو</v>
      </c>
      <c r="D10" s="27">
        <v>0</v>
      </c>
      <c r="E10" s="27">
        <v>0</v>
      </c>
      <c r="F10" s="35" t="str">
        <f>R17</f>
        <v>سوئد</v>
      </c>
      <c r="J10" s="13" t="str">
        <f>VLOOKUP(1,Q7:X10,2,FALSE)</f>
        <v>لهستان</v>
      </c>
      <c r="K10" s="14">
        <f>VLOOKUP(1,Q7:X10,3,FALSE)</f>
        <v>0</v>
      </c>
      <c r="L10" s="14">
        <f>VLOOKUP(1,Q7:X10,4,FALSE)</f>
        <v>0</v>
      </c>
      <c r="M10" s="14">
        <f>VLOOKUP(1,Q7:X10,5,FALSE)</f>
        <v>1</v>
      </c>
      <c r="N10" s="14" t="str">
        <f>CONCATENATE(VLOOKUP(1,Q7:X10,6,FALSE)," - ",VLOOKUP(1,Q7:X10,7,FALSE))</f>
        <v>0 - 2</v>
      </c>
      <c r="O10" s="15">
        <f>VLOOKUP(1,Q7:X10,8,FALSE)</f>
        <v>0</v>
      </c>
      <c r="Q10" s="44">
        <f>IF(Y10&gt;Y7,1,0)+IF(Y10&gt;Y8,1,0)+IF(Y10&gt;Y9,1,0)+IF(Y10&gt;Y10,1,0)+1</f>
        <v>4</v>
      </c>
      <c r="R10" s="45" t="str">
        <f>INDEX(T,6,language)</f>
        <v>اکوادور</v>
      </c>
      <c r="S10" s="46">
        <f>COUNTIF(AS7:AT54,CONCATENATE(R10,"_win"))</f>
        <v>1</v>
      </c>
      <c r="T10" s="46">
        <f>COUNTIF(AS7:AT54,CONCATENATE(R10,"_draw"))</f>
        <v>0</v>
      </c>
      <c r="U10" s="46">
        <f>COUNTIF(AS7:AT54,CONCATENATE(R10,"_lose"))</f>
        <v>0</v>
      </c>
      <c r="V10" s="46">
        <f>SUMIF(AO7:AO54,CONCATENATE("=",R10),AP7:AP54)+SUMIF(AK7:AK54,CONCATENATE("=",R10),AL7:AL54)</f>
        <v>2</v>
      </c>
      <c r="W10" s="46">
        <f>SUMIF(AQ7:AQ54,CONCATENATE("=",R10),AR7:AR54)+SUMIF(AM7:AM54,CONCATENATE("=",R10),AN7:AN54)</f>
        <v>0</v>
      </c>
      <c r="X10" s="46">
        <f>S10*3+T10</f>
        <v>3</v>
      </c>
      <c r="Y10" s="46">
        <f>0.1+AH10+V10*1000+(V10-W10)*100000+X10*10000000</f>
        <v>30202000.1</v>
      </c>
      <c r="Z10" s="45">
        <f>IF(COUNTIF(X7:X10,CONCATENATE("=",X10))=1,0,COUNTIF(X7:X10,CONCATENATE("=",X10)))*X10</f>
        <v>6</v>
      </c>
      <c r="AC10" s="46">
        <f>IF(X10=AB7,1,0)</f>
        <v>1</v>
      </c>
      <c r="AD10" s="46">
        <f>COUNTIF(AU7:AV54,CONCATENATE(R10,"_win"))</f>
        <v>0</v>
      </c>
      <c r="AE10" s="46">
        <f>SUMIF(BA7:BA54,CONCATENATE("=",R10),BB7:BB54)+SUMIF(AW7:AW54,CONCATENATE("=",R10),AX7:AX54)</f>
        <v>0</v>
      </c>
      <c r="AF10" s="46">
        <f>SUMIF(BC7:BC54,CONCATENATE("=",R10),BD7:BD54)+SUMIF(AY7:AY54,CONCATENATE("=",R10),AZ7:AZ54)</f>
        <v>0</v>
      </c>
      <c r="AG10" s="45">
        <f>300*AD10+(AE10-AF10)*10+AE10</f>
        <v>0</v>
      </c>
      <c r="AH10" s="45">
        <f>IF(AG10&gt;0,AG10,0)</f>
        <v>0</v>
      </c>
      <c r="AJ10" s="45">
        <f>VLOOKUP(F10,R7:AC59,12,FALSE)+VLOOKUP(C10,R7:AC59,12,FALSE)</f>
        <v>2</v>
      </c>
      <c r="AK10" s="45" t="str">
        <f t="shared" si="0"/>
        <v>ترینیداد و توباگو</v>
      </c>
      <c r="AL10" s="45">
        <f t="shared" si="1"/>
        <v>0</v>
      </c>
      <c r="AM10" s="45" t="str">
        <f t="shared" si="2"/>
        <v>ترینیداد و توباگو</v>
      </c>
      <c r="AN10" s="45">
        <f t="shared" si="3"/>
        <v>0</v>
      </c>
      <c r="AO10" s="45" t="str">
        <f t="shared" si="4"/>
        <v>سوئد</v>
      </c>
      <c r="AP10" s="45">
        <f t="shared" si="5"/>
        <v>0</v>
      </c>
      <c r="AQ10" s="45" t="str">
        <f t="shared" si="6"/>
        <v>سوئد</v>
      </c>
      <c r="AR10" s="45">
        <f t="shared" si="7"/>
        <v>0</v>
      </c>
      <c r="AS10" s="45" t="str">
        <f t="shared" si="8"/>
        <v>ترینیداد و توباگو_draw</v>
      </c>
      <c r="AT10" s="45" t="str">
        <f t="shared" si="9"/>
        <v>سوئد_draw</v>
      </c>
      <c r="AU10" s="45" t="str">
        <f t="shared" si="10"/>
        <v>ترینیداد و توباگو_draw</v>
      </c>
      <c r="AV10" s="45" t="str">
        <f t="shared" si="11"/>
        <v>سوئد_draw</v>
      </c>
      <c r="AW10" s="45" t="str">
        <f t="shared" si="12"/>
        <v>ترینیداد و توباگو</v>
      </c>
      <c r="AX10" s="45">
        <f t="shared" si="13"/>
        <v>0</v>
      </c>
      <c r="AY10" s="45" t="str">
        <f t="shared" si="14"/>
        <v>ترینیداد و توباگو</v>
      </c>
      <c r="AZ10" s="45">
        <f t="shared" si="15"/>
        <v>0</v>
      </c>
      <c r="BA10" s="45" t="str">
        <f t="shared" si="16"/>
        <v>سوئد</v>
      </c>
      <c r="BB10" s="45">
        <f t="shared" si="17"/>
        <v>0</v>
      </c>
      <c r="BC10" s="45" t="str">
        <f t="shared" si="18"/>
        <v>سوئد</v>
      </c>
      <c r="BD10" s="45">
        <f t="shared" si="19"/>
        <v>0</v>
      </c>
      <c r="BE10" s="45" t="s">
        <v>55</v>
      </c>
      <c r="BF10" s="45">
        <v>-8</v>
      </c>
      <c r="BG10" s="45" t="s">
        <v>180</v>
      </c>
      <c r="BH10" s="45">
        <v>4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3.5" customHeight="1" thickBot="1">
      <c r="A11" s="38" t="str">
        <f>CONCATENATE(10+IF(GMT&gt;4,1,0)," ",INDEX(T,80,language))</f>
        <v>10 ژوئن</v>
      </c>
      <c r="B11" s="39">
        <f>TIME(19+GMT,0,0)</f>
        <v>0.9166666666666666</v>
      </c>
      <c r="C11" s="34" t="str">
        <f>R21</f>
        <v>آرژانتین</v>
      </c>
      <c r="D11" s="27">
        <v>2</v>
      </c>
      <c r="E11" s="27">
        <v>1</v>
      </c>
      <c r="F11" s="35" t="str">
        <f>R22</f>
        <v>ساحل عاج</v>
      </c>
      <c r="Z11" s="45">
        <f>MAX(Z7:Z10)</f>
        <v>6</v>
      </c>
      <c r="AJ11" s="45">
        <f>VLOOKUP(F11,R7:AC59,12,FALSE)+VLOOKUP(C11,R7:AC59,12,FALSE)</f>
        <v>1</v>
      </c>
      <c r="AK11" s="45" t="str">
        <f t="shared" si="0"/>
        <v>آرژانتین</v>
      </c>
      <c r="AL11" s="45">
        <f t="shared" si="1"/>
        <v>2</v>
      </c>
      <c r="AM11" s="45" t="str">
        <f t="shared" si="2"/>
        <v>آرژانتین</v>
      </c>
      <c r="AN11" s="45">
        <f t="shared" si="3"/>
        <v>1</v>
      </c>
      <c r="AO11" s="45" t="str">
        <f t="shared" si="4"/>
        <v>ساحل عاج</v>
      </c>
      <c r="AP11" s="45">
        <f t="shared" si="5"/>
        <v>1</v>
      </c>
      <c r="AQ11" s="45" t="str">
        <f t="shared" si="6"/>
        <v>ساحل عاج</v>
      </c>
      <c r="AR11" s="45">
        <f t="shared" si="7"/>
        <v>2</v>
      </c>
      <c r="AS11" s="45" t="str">
        <f t="shared" si="8"/>
        <v>آرژانتین_win</v>
      </c>
      <c r="AT11" s="45" t="str">
        <f t="shared" si="9"/>
        <v>ساحل عاج_lose</v>
      </c>
      <c r="AU11" s="45">
        <f t="shared" si="10"/>
      </c>
      <c r="AV11" s="45">
        <f t="shared" si="11"/>
      </c>
      <c r="AW11" s="45">
        <f t="shared" si="12"/>
      </c>
      <c r="AX11" s="45">
        <f t="shared" si="13"/>
      </c>
      <c r="AY11" s="45">
        <f t="shared" si="14"/>
      </c>
      <c r="AZ11" s="45">
        <f t="shared" si="15"/>
      </c>
      <c r="BA11" s="45">
        <f t="shared" si="16"/>
      </c>
      <c r="BB11" s="45">
        <f t="shared" si="17"/>
      </c>
      <c r="BC11" s="45">
        <f t="shared" si="18"/>
      </c>
      <c r="BD11" s="45">
        <f t="shared" si="19"/>
      </c>
      <c r="BE11" s="45" t="s">
        <v>57</v>
      </c>
      <c r="BF11" s="45">
        <v>-7</v>
      </c>
      <c r="BG11" s="45" t="s">
        <v>181</v>
      </c>
      <c r="BH11" s="45">
        <v>5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3.5" customHeight="1" thickBot="1">
      <c r="A12" s="38" t="str">
        <f>CONCATENATE(11+IF(GMT&gt;10,1,0)," ",INDEX(T,80,language))</f>
        <v>11 ژوئن</v>
      </c>
      <c r="B12" s="39">
        <f>TIME(13+GMT,0,0)</f>
        <v>0.6666666666666666</v>
      </c>
      <c r="C12" s="34" t="str">
        <f>R23</f>
        <v>صربستان و مونته نگرو</v>
      </c>
      <c r="D12" s="27"/>
      <c r="E12" s="27"/>
      <c r="F12" s="35" t="str">
        <f>R24</f>
        <v>هلند</v>
      </c>
      <c r="J12" s="64" t="str">
        <f>CONCATENATE(INDEX(T,40,language)," B")</f>
        <v>گروه B</v>
      </c>
      <c r="K12" s="66" t="str">
        <f>INDEX(T,35,language)</f>
        <v>برد</v>
      </c>
      <c r="L12" s="66" t="str">
        <f>INDEX(T,36,language)</f>
        <v>تساوی</v>
      </c>
      <c r="M12" s="66" t="str">
        <f>INDEX(T,37,language)</f>
        <v>باخت</v>
      </c>
      <c r="N12" s="66" t="str">
        <f>INDEX(T,38,language)</f>
        <v>خورده – زده</v>
      </c>
      <c r="O12" s="74" t="str">
        <f>INDEX(T,39,language)</f>
        <v>امتیاز</v>
      </c>
      <c r="AJ12" s="45">
        <f>VLOOKUP(F12,R7:AC59,12,FALSE)+VLOOKUP(C12,R7:AC59,12,FALSE)</f>
        <v>0</v>
      </c>
      <c r="AK12" s="45" t="str">
        <f t="shared" si="0"/>
        <v>صربستان و مونته نگرو</v>
      </c>
      <c r="AL12" s="45">
        <f t="shared" si="1"/>
        <v>0</v>
      </c>
      <c r="AM12" s="45" t="str">
        <f t="shared" si="2"/>
        <v>صربستان و مونته نگرو</v>
      </c>
      <c r="AN12" s="45">
        <f t="shared" si="3"/>
        <v>0</v>
      </c>
      <c r="AO12" s="45" t="str">
        <f t="shared" si="4"/>
        <v>هلند</v>
      </c>
      <c r="AP12" s="45">
        <f t="shared" si="5"/>
        <v>0</v>
      </c>
      <c r="AQ12" s="45" t="str">
        <f t="shared" si="6"/>
        <v>هلند</v>
      </c>
      <c r="AR12" s="45">
        <f t="shared" si="7"/>
        <v>0</v>
      </c>
      <c r="AS12" s="45">
        <f t="shared" si="8"/>
      </c>
      <c r="AT12" s="45">
        <f t="shared" si="9"/>
      </c>
      <c r="AU12" s="45">
        <f t="shared" si="10"/>
      </c>
      <c r="AV12" s="45">
        <f t="shared" si="11"/>
      </c>
      <c r="AW12" s="45">
        <f t="shared" si="12"/>
      </c>
      <c r="AX12" s="45">
        <f t="shared" si="13"/>
      </c>
      <c r="AY12" s="45">
        <f t="shared" si="14"/>
      </c>
      <c r="AZ12" s="45">
        <f t="shared" si="15"/>
      </c>
      <c r="BA12" s="45">
        <f t="shared" si="16"/>
      </c>
      <c r="BB12" s="45">
        <f t="shared" si="17"/>
      </c>
      <c r="BC12" s="45">
        <f t="shared" si="18"/>
      </c>
      <c r="BD12" s="45">
        <f t="shared" si="19"/>
      </c>
      <c r="BE12" s="45" t="s">
        <v>58</v>
      </c>
      <c r="BF12" s="45">
        <v>-6</v>
      </c>
      <c r="BG12" s="45" t="s">
        <v>182</v>
      </c>
      <c r="BH12" s="45">
        <v>6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3.5" customHeight="1" thickBot="1">
      <c r="A13" s="38" t="str">
        <f>CONCATENATE(11+IF(GMT&gt;7,1,0)," ",INDEX(T,80,language))</f>
        <v>11 ژوئن</v>
      </c>
      <c r="B13" s="39">
        <f>TIME(16+GMT,0,0)</f>
        <v>0.7916666666666666</v>
      </c>
      <c r="C13" s="34" t="str">
        <f>R28</f>
        <v>مکزیک</v>
      </c>
      <c r="D13" s="27"/>
      <c r="E13" s="27"/>
      <c r="F13" s="35" t="str">
        <f>R29</f>
        <v>ایران</v>
      </c>
      <c r="J13" s="65"/>
      <c r="K13" s="67"/>
      <c r="L13" s="67"/>
      <c r="M13" s="67"/>
      <c r="N13" s="67"/>
      <c r="O13" s="75"/>
      <c r="AJ13" s="45">
        <f>VLOOKUP(F13,R7:AC59,12,FALSE)+VLOOKUP(C13,R7:AC59,12,FALSE)</f>
        <v>2</v>
      </c>
      <c r="AK13" s="45" t="str">
        <f t="shared" si="0"/>
        <v>مکزیک</v>
      </c>
      <c r="AL13" s="45">
        <f t="shared" si="1"/>
        <v>0</v>
      </c>
      <c r="AM13" s="45" t="str">
        <f t="shared" si="2"/>
        <v>مکزیک</v>
      </c>
      <c r="AN13" s="45">
        <f t="shared" si="3"/>
        <v>0</v>
      </c>
      <c r="AO13" s="45" t="str">
        <f t="shared" si="4"/>
        <v>ایران</v>
      </c>
      <c r="AP13" s="45">
        <f t="shared" si="5"/>
        <v>0</v>
      </c>
      <c r="AQ13" s="45" t="str">
        <f t="shared" si="6"/>
        <v>ایران</v>
      </c>
      <c r="AR13" s="45">
        <f t="shared" si="7"/>
        <v>0</v>
      </c>
      <c r="AS13" s="45">
        <f t="shared" si="8"/>
      </c>
      <c r="AT13" s="45">
        <f t="shared" si="9"/>
      </c>
      <c r="AU13" s="45">
        <f t="shared" si="10"/>
      </c>
      <c r="AV13" s="45">
        <f t="shared" si="11"/>
      </c>
      <c r="AW13" s="45" t="str">
        <f t="shared" si="12"/>
        <v>مکزیک</v>
      </c>
      <c r="AX13" s="45">
        <f t="shared" si="13"/>
        <v>0</v>
      </c>
      <c r="AY13" s="45" t="str">
        <f t="shared" si="14"/>
        <v>مکزیک</v>
      </c>
      <c r="AZ13" s="45">
        <f t="shared" si="15"/>
        <v>0</v>
      </c>
      <c r="BA13" s="45" t="str">
        <f t="shared" si="16"/>
        <v>ایران</v>
      </c>
      <c r="BB13" s="45">
        <f t="shared" si="17"/>
        <v>0</v>
      </c>
      <c r="BC13" s="45" t="str">
        <f t="shared" si="18"/>
        <v>ایران</v>
      </c>
      <c r="BD13" s="45">
        <f t="shared" si="19"/>
        <v>0</v>
      </c>
      <c r="BE13" s="45" t="s">
        <v>59</v>
      </c>
      <c r="BF13" s="45">
        <v>-5</v>
      </c>
      <c r="BG13" s="45" t="s">
        <v>426</v>
      </c>
      <c r="BH13" s="45">
        <v>7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3.5" customHeight="1" thickBot="1">
      <c r="A14" s="38" t="str">
        <f>CONCATENATE(11+IF(GMT&gt;4,1,0)," ",INDEX(T,80,language))</f>
        <v>11 ژوئن</v>
      </c>
      <c r="B14" s="39">
        <f>TIME(19+GMT,0,0)</f>
        <v>0.9166666666666666</v>
      </c>
      <c r="C14" s="34" t="str">
        <f>R30</f>
        <v>آنگولا</v>
      </c>
      <c r="D14" s="27"/>
      <c r="E14" s="27"/>
      <c r="F14" s="35" t="str">
        <f>R31</f>
        <v>پرتقال</v>
      </c>
      <c r="J14" s="6" t="str">
        <f>VLOOKUP(4,Q14:X17,2,FALSE)</f>
        <v>انگلستان</v>
      </c>
      <c r="K14" s="7">
        <f>VLOOKUP(4,Q14:X17,3,FALSE)</f>
        <v>1</v>
      </c>
      <c r="L14" s="7">
        <f>VLOOKUP(4,Q14:X17,4,FALSE)</f>
        <v>0</v>
      </c>
      <c r="M14" s="7">
        <f>VLOOKUP(4,Q14:X17,5,FALSE)</f>
        <v>0</v>
      </c>
      <c r="N14" s="7" t="str">
        <f>CONCATENATE(VLOOKUP(4,Q14:X17,6,FALSE)," - ",VLOOKUP(4,Q14:X17,7,FALSE))</f>
        <v>1 - 0</v>
      </c>
      <c r="O14" s="8">
        <f>VLOOKUP(4,Q14:X17,8,FALSE)</f>
        <v>3</v>
      </c>
      <c r="Q14" s="44">
        <f>IF(Y14&gt;Y14,1,0)+IF(Y14&gt;Y15,1,0)+IF(Y14&gt;Y16,1,0)+IF(Y14&gt;Y17,1,0)+1</f>
        <v>4</v>
      </c>
      <c r="R14" s="45" t="str">
        <f>INDEX(T,7,language)</f>
        <v>انگلستان</v>
      </c>
      <c r="S14" s="46">
        <f>COUNTIF(AS7:AT54,CONCATENATE(R14,"_win"))</f>
        <v>1</v>
      </c>
      <c r="T14" s="46">
        <f>COUNTIF(AS7:AT54,CONCATENATE(R14,"_draw"))</f>
        <v>0</v>
      </c>
      <c r="U14" s="46">
        <f>COUNTIF(AS7:AT54,CONCATENATE(R14,"_lose"))</f>
        <v>0</v>
      </c>
      <c r="V14" s="46">
        <f>SUMIF(AO7:AO54,CONCATENATE("=",R14),AP7:AP54)+SUMIF(AK7:AK54,CONCATENATE("=",R14),AL7:AL54)</f>
        <v>1</v>
      </c>
      <c r="W14" s="46">
        <f>SUMIF(AQ7:AQ54,CONCATENATE("=",R14),AR7:AR54)+SUMIF(AM7:AM54,CONCATENATE("=",R14),AN7:AN54)</f>
        <v>0</v>
      </c>
      <c r="X14" s="46">
        <f>S14*3+T14</f>
        <v>3</v>
      </c>
      <c r="Y14" s="46">
        <f>0.4+AH14+V14*1000+(V14-W14)*100000+X14*10000000</f>
        <v>30101000.4</v>
      </c>
      <c r="Z14" s="45">
        <f>IF(COUNTIF(X14:X17,CONCATENATE("=",X14))=1,0,COUNTIF(X14:X17,CONCATENATE("=",X14)))*X14</f>
        <v>0</v>
      </c>
      <c r="AA14" s="45" t="str">
        <f>IF(SUM(S14:U17)=12,J14,INDEX(T,50,language))</f>
        <v>برنده گروه B</v>
      </c>
      <c r="AB14" s="46">
        <f>IF(Z14=Z18,X14,IF(Z15=Z18,X15,IF(Z16=Z18,X16,X17)))</f>
        <v>1</v>
      </c>
      <c r="AC14" s="46">
        <f>IF(X14=AB14,1,0)</f>
        <v>0</v>
      </c>
      <c r="AD14" s="46">
        <f>COUNTIF(AU7:AV54,CONCATENATE(R14,"_win"))</f>
        <v>0</v>
      </c>
      <c r="AE14" s="46">
        <f>SUMIF(BA7:BA54,CONCATENATE("=",R14),BB7:BB54)+SUMIF(AW7:AW54,CONCATENATE("=",R14),AX7:AX54)</f>
        <v>0</v>
      </c>
      <c r="AF14" s="46">
        <f>SUMIF(BC7:BC54,CONCATENATE("=",R14),BD7:BD54)+SUMIF(AY7:AY54,CONCATENATE("=",R14),AZ7:AZ54)</f>
        <v>0</v>
      </c>
      <c r="AG14" s="45">
        <f>300*AD14+(AE14-AF14)*10+AE14</f>
        <v>0</v>
      </c>
      <c r="AH14" s="45">
        <f>IF(AG14&gt;0,AG14,0)</f>
        <v>0</v>
      </c>
      <c r="AJ14" s="45">
        <f>VLOOKUP(F14,R7:AC59,12,FALSE)+VLOOKUP(C14,R7:AC59,12,FALSE)</f>
        <v>2</v>
      </c>
      <c r="AK14" s="45" t="str">
        <f t="shared" si="0"/>
        <v>آنگولا</v>
      </c>
      <c r="AL14" s="45">
        <f t="shared" si="1"/>
        <v>0</v>
      </c>
      <c r="AM14" s="45" t="str">
        <f t="shared" si="2"/>
        <v>آنگولا</v>
      </c>
      <c r="AN14" s="45">
        <f t="shared" si="3"/>
        <v>0</v>
      </c>
      <c r="AO14" s="45" t="str">
        <f t="shared" si="4"/>
        <v>پرتقال</v>
      </c>
      <c r="AP14" s="45">
        <f t="shared" si="5"/>
        <v>0</v>
      </c>
      <c r="AQ14" s="45" t="str">
        <f t="shared" si="6"/>
        <v>پرتقال</v>
      </c>
      <c r="AR14" s="45">
        <f t="shared" si="7"/>
        <v>0</v>
      </c>
      <c r="AS14" s="45">
        <f t="shared" si="8"/>
      </c>
      <c r="AT14" s="45">
        <f t="shared" si="9"/>
      </c>
      <c r="AU14" s="45">
        <f t="shared" si="10"/>
      </c>
      <c r="AV14" s="45">
        <f t="shared" si="11"/>
      </c>
      <c r="AW14" s="45" t="str">
        <f t="shared" si="12"/>
        <v>آنگولا</v>
      </c>
      <c r="AX14" s="45">
        <f t="shared" si="13"/>
        <v>0</v>
      </c>
      <c r="AY14" s="45" t="str">
        <f t="shared" si="14"/>
        <v>آنگولا</v>
      </c>
      <c r="AZ14" s="45">
        <f t="shared" si="15"/>
        <v>0</v>
      </c>
      <c r="BA14" s="45" t="str">
        <f t="shared" si="16"/>
        <v>پرتقال</v>
      </c>
      <c r="BB14" s="45">
        <f t="shared" si="17"/>
        <v>0</v>
      </c>
      <c r="BC14" s="45" t="str">
        <f t="shared" si="18"/>
        <v>پرتقال</v>
      </c>
      <c r="BD14" s="45">
        <f t="shared" si="19"/>
        <v>0</v>
      </c>
      <c r="BE14" s="45" t="s">
        <v>60</v>
      </c>
      <c r="BF14" s="45">
        <v>-4</v>
      </c>
      <c r="BG14" s="45" t="s">
        <v>572</v>
      </c>
      <c r="BH14" s="45">
        <v>8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13.5" customHeight="1" thickBot="1">
      <c r="A15" s="38" t="str">
        <f>CONCATENATE(12+IF(GMT&gt;10,1,0)," ",INDEX(T,80,language))</f>
        <v>12 ژوئن</v>
      </c>
      <c r="B15" s="39">
        <f>TIME(13+GMT,0,0)</f>
        <v>0.6666666666666666</v>
      </c>
      <c r="C15" s="34" t="str">
        <f>R44</f>
        <v>استرالیا</v>
      </c>
      <c r="D15" s="27"/>
      <c r="E15" s="27"/>
      <c r="F15" s="35" t="str">
        <f>R45</f>
        <v>ژاپن</v>
      </c>
      <c r="J15" s="10" t="str">
        <f>VLOOKUP(3,Q14:X17,2,FALSE)</f>
        <v>ترینیداد و توباگو</v>
      </c>
      <c r="K15" s="11">
        <f>VLOOKUP(3,Q14:X17,3,FALSE)</f>
        <v>0</v>
      </c>
      <c r="L15" s="11">
        <f>VLOOKUP(3,Q14:X17,4,FALSE)</f>
        <v>1</v>
      </c>
      <c r="M15" s="11">
        <f>VLOOKUP(3,Q14:X17,5,FALSE)</f>
        <v>0</v>
      </c>
      <c r="N15" s="11" t="str">
        <f>CONCATENATE(VLOOKUP(3,Q14:X17,6,FALSE)," - ",VLOOKUP(3,Q14:X17,7,FALSE))</f>
        <v>0 - 0</v>
      </c>
      <c r="O15" s="12">
        <f>VLOOKUP(3,Q14:X17,8,FALSE)</f>
        <v>1</v>
      </c>
      <c r="Q15" s="44">
        <f>IF(Y15&gt;Y14,1,0)+IF(Y15&gt;Y15,1,0)+IF(Y15&gt;Y16,1,0)+IF(Y15&gt;Y17,1,0)+1</f>
        <v>1</v>
      </c>
      <c r="R15" s="45" t="str">
        <f>INDEX(T,8,language)</f>
        <v>پاراگوئه</v>
      </c>
      <c r="S15" s="46">
        <f>COUNTIF(AS7:AT54,CONCATENATE(R15,"_win"))</f>
        <v>0</v>
      </c>
      <c r="T15" s="46">
        <f>COUNTIF(AS7:AT54,CONCATENATE(R15,"_draw"))</f>
        <v>0</v>
      </c>
      <c r="U15" s="46">
        <f>COUNTIF(AS7:AT54,CONCATENATE(R15,"_lose"))</f>
        <v>1</v>
      </c>
      <c r="V15" s="46">
        <f>SUMIF(AO7:AO54,CONCATENATE("=",R15),AP7:AP54)+SUMIF(AK7:AK54,CONCATENATE("=",R15),AL7:AL54)</f>
        <v>0</v>
      </c>
      <c r="W15" s="46">
        <f>SUMIF(AQ7:AQ54,CONCATENATE("=",R15),AR7:AR54)+SUMIF(AM7:AM54,CONCATENATE("=",R15),AN7:AN54)</f>
        <v>1</v>
      </c>
      <c r="X15" s="46">
        <f>S15*3+T15</f>
        <v>0</v>
      </c>
      <c r="Y15" s="46">
        <f>0.3+AH15+V15*1000+(V15-W15)*100000+X15*10000000</f>
        <v>-99999.7</v>
      </c>
      <c r="Z15" s="45">
        <f>IF(COUNTIF(X14:X17,CONCATENATE("=",X15))=1,0,COUNTIF(X14:X17,CONCATENATE("=",X15)))*X15</f>
        <v>0</v>
      </c>
      <c r="AA15" s="45" t="str">
        <f>IF(SUM(S14:U17)=12,J15,INDEX(T,51,language))</f>
        <v>دوم گروه B</v>
      </c>
      <c r="AC15" s="46">
        <f>IF(X15=AB14,1,0)</f>
        <v>0</v>
      </c>
      <c r="AD15" s="46">
        <f>COUNTIF(AU7:AV54,CONCATENATE(R15,"_win"))</f>
        <v>0</v>
      </c>
      <c r="AE15" s="46">
        <f>SUMIF(BA7:BA54,CONCATENATE("=",R15),BB7:BB54)+SUMIF(AW7:AW54,CONCATENATE("=",R15),AX7:AX54)</f>
        <v>0</v>
      </c>
      <c r="AF15" s="46">
        <f>SUMIF(BC7:BC54,CONCATENATE("=",R15),BD7:BD54)+SUMIF(AY7:AY54,CONCATENATE("=",R15),AZ7:AZ54)</f>
        <v>0</v>
      </c>
      <c r="AG15" s="45">
        <f>300*AD15+(AE15-AF15)*10+AE15</f>
        <v>0</v>
      </c>
      <c r="AH15" s="45">
        <f>IF(AG15&gt;0,AG15,0)</f>
        <v>0</v>
      </c>
      <c r="AJ15" s="45">
        <f>VLOOKUP(F15,R7:AC59,12,FALSE)+VLOOKUP(C15,R7:AC59,12,FALSE)</f>
        <v>2</v>
      </c>
      <c r="AK15" s="45" t="str">
        <f t="shared" si="0"/>
        <v>استرالیا</v>
      </c>
      <c r="AL15" s="45">
        <f t="shared" si="1"/>
        <v>0</v>
      </c>
      <c r="AM15" s="45" t="str">
        <f t="shared" si="2"/>
        <v>استرالیا</v>
      </c>
      <c r="AN15" s="45">
        <f t="shared" si="3"/>
        <v>0</v>
      </c>
      <c r="AO15" s="45" t="str">
        <f t="shared" si="4"/>
        <v>ژاپن</v>
      </c>
      <c r="AP15" s="45">
        <f t="shared" si="5"/>
        <v>0</v>
      </c>
      <c r="AQ15" s="45" t="str">
        <f t="shared" si="6"/>
        <v>ژاپن</v>
      </c>
      <c r="AR15" s="45">
        <f t="shared" si="7"/>
        <v>0</v>
      </c>
      <c r="AS15" s="45">
        <f t="shared" si="8"/>
      </c>
      <c r="AT15" s="45">
        <f t="shared" si="9"/>
      </c>
      <c r="AU15" s="45">
        <f t="shared" si="10"/>
      </c>
      <c r="AV15" s="45">
        <f t="shared" si="11"/>
      </c>
      <c r="AW15" s="45" t="str">
        <f t="shared" si="12"/>
        <v>استرالیا</v>
      </c>
      <c r="AX15" s="45">
        <f t="shared" si="13"/>
        <v>0</v>
      </c>
      <c r="AY15" s="45" t="str">
        <f t="shared" si="14"/>
        <v>استرالیا</v>
      </c>
      <c r="AZ15" s="45">
        <f t="shared" si="15"/>
        <v>0</v>
      </c>
      <c r="BA15" s="45" t="str">
        <f t="shared" si="16"/>
        <v>ژاپن</v>
      </c>
      <c r="BB15" s="45">
        <f t="shared" si="17"/>
        <v>0</v>
      </c>
      <c r="BC15" s="45" t="str">
        <f t="shared" si="18"/>
        <v>ژاپن</v>
      </c>
      <c r="BD15" s="45">
        <f t="shared" si="19"/>
        <v>0</v>
      </c>
      <c r="BE15" s="45" t="s">
        <v>61</v>
      </c>
      <c r="BF15" s="45">
        <v>-3</v>
      </c>
      <c r="BG15" s="45" t="s">
        <v>1095</v>
      </c>
      <c r="BH15" s="45">
        <v>9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customHeight="1" thickBot="1">
      <c r="A16" s="38" t="str">
        <f>CONCATENATE(12+IF(GMT&gt;7,1,0)," ",INDEX(T,80,language))</f>
        <v>12 ژوئن</v>
      </c>
      <c r="B16" s="39">
        <f>TIME(16+GMT,0,0)</f>
        <v>0.7916666666666666</v>
      </c>
      <c r="C16" s="34" t="str">
        <f>R37</f>
        <v>آمریکا</v>
      </c>
      <c r="D16" s="27"/>
      <c r="E16" s="27"/>
      <c r="F16" s="35" t="str">
        <f>R38</f>
        <v>جمهوری چک</v>
      </c>
      <c r="J16" s="10" t="str">
        <f>VLOOKUP(2,Q14:X17,2,FALSE)</f>
        <v>سوئد</v>
      </c>
      <c r="K16" s="11">
        <f>VLOOKUP(2,Q14:X17,3,FALSE)</f>
        <v>0</v>
      </c>
      <c r="L16" s="11">
        <f>VLOOKUP(2,Q14:X17,4,FALSE)</f>
        <v>1</v>
      </c>
      <c r="M16" s="11">
        <f>VLOOKUP(2,Q14:X17,5,FALSE)</f>
        <v>0</v>
      </c>
      <c r="N16" s="11" t="str">
        <f>CONCATENATE(VLOOKUP(2,Q14:X17,6,FALSE)," - ",VLOOKUP(2,Q14:X17,7,FALSE))</f>
        <v>0 - 0</v>
      </c>
      <c r="O16" s="12">
        <f>VLOOKUP(2,Q14:X17,8,FALSE)</f>
        <v>1</v>
      </c>
      <c r="Q16" s="44">
        <f>IF(Y16&gt;Y14,1,0)+IF(Y16&gt;Y15,1,0)+IF(Y16&gt;Y16,1,0)+IF(Y16&gt;Y17,1,0)+1</f>
        <v>3</v>
      </c>
      <c r="R16" s="45" t="str">
        <f>INDEX(T,9,language)</f>
        <v>ترینیداد و توباگو</v>
      </c>
      <c r="S16" s="46">
        <f>COUNTIF(AS7:AT54,CONCATENATE(R16,"_win"))</f>
        <v>0</v>
      </c>
      <c r="T16" s="46">
        <f>COUNTIF(AS7:AT54,CONCATENATE(R16,"_draw"))</f>
        <v>1</v>
      </c>
      <c r="U16" s="46">
        <f>COUNTIF(AS7:AT54,CONCATENATE(R16,"_lose"))</f>
        <v>0</v>
      </c>
      <c r="V16" s="46">
        <f>SUMIF(AO7:AO54,CONCATENATE("=",R16),AP7:AP54)+SUMIF(AK7:AK54,CONCATENATE("=",R16),AL7:AL54)</f>
        <v>0</v>
      </c>
      <c r="W16" s="46">
        <f>SUMIF(AQ7:AQ54,CONCATENATE("=",R16),AR7:AR54)+SUMIF(AM7:AM54,CONCATENATE("=",R16),AN7:AN54)</f>
        <v>0</v>
      </c>
      <c r="X16" s="46">
        <f>S16*3+T16</f>
        <v>1</v>
      </c>
      <c r="Y16" s="46">
        <f>0.2+AH16+V16*1000+(V16-W16)*100000+X16*10000000</f>
        <v>10000000.2</v>
      </c>
      <c r="Z16" s="45">
        <f>IF(COUNTIF(X14:X17,CONCATENATE("=",X16))=1,0,COUNTIF(X14:X17,CONCATENATE("=",X16)))*X16</f>
        <v>2</v>
      </c>
      <c r="AC16" s="46">
        <f>IF(X16=AB14,1,0)</f>
        <v>1</v>
      </c>
      <c r="AD16" s="46">
        <f>COUNTIF(AU7:AV54,CONCATENATE(R16,"_win"))</f>
        <v>0</v>
      </c>
      <c r="AE16" s="46">
        <f>SUMIF(BA7:BA54,CONCATENATE("=",R16),BB7:BB54)+SUMIF(AW7:AW54,CONCATENATE("=",R16),AX7:AX54)</f>
        <v>0</v>
      </c>
      <c r="AF16" s="46">
        <f>SUMIF(BC7:BC54,CONCATENATE("=",R16),BD7:BD54)+SUMIF(AY7:AY54,CONCATENATE("=",R16),AZ7:AZ54)</f>
        <v>0</v>
      </c>
      <c r="AG16" s="45">
        <f>300*AD16+(AE16-AF16)*10+AE16</f>
        <v>0</v>
      </c>
      <c r="AH16" s="45">
        <f>IF(AG16&gt;0,AG16,0)</f>
        <v>0</v>
      </c>
      <c r="AJ16" s="45">
        <f>VLOOKUP(F16,R7:AC59,12,FALSE)+VLOOKUP(C16,R7:AC59,12,FALSE)</f>
        <v>2</v>
      </c>
      <c r="AK16" s="45" t="str">
        <f t="shared" si="0"/>
        <v>آمریکا</v>
      </c>
      <c r="AL16" s="45">
        <f t="shared" si="1"/>
        <v>0</v>
      </c>
      <c r="AM16" s="45" t="str">
        <f t="shared" si="2"/>
        <v>آمریکا</v>
      </c>
      <c r="AN16" s="45">
        <f t="shared" si="3"/>
        <v>0</v>
      </c>
      <c r="AO16" s="45" t="str">
        <f t="shared" si="4"/>
        <v>جمهوری چک</v>
      </c>
      <c r="AP16" s="45">
        <f t="shared" si="5"/>
        <v>0</v>
      </c>
      <c r="AQ16" s="45" t="str">
        <f t="shared" si="6"/>
        <v>جمهوری چک</v>
      </c>
      <c r="AR16" s="45">
        <f t="shared" si="7"/>
        <v>0</v>
      </c>
      <c r="AS16" s="45">
        <f t="shared" si="8"/>
      </c>
      <c r="AT16" s="45">
        <f t="shared" si="9"/>
      </c>
      <c r="AU16" s="45">
        <f t="shared" si="10"/>
      </c>
      <c r="AV16" s="45">
        <f t="shared" si="11"/>
      </c>
      <c r="AW16" s="45" t="str">
        <f t="shared" si="12"/>
        <v>آمریکا</v>
      </c>
      <c r="AX16" s="45">
        <f t="shared" si="13"/>
        <v>0</v>
      </c>
      <c r="AY16" s="45" t="str">
        <f t="shared" si="14"/>
        <v>آمریکا</v>
      </c>
      <c r="AZ16" s="45">
        <f t="shared" si="15"/>
        <v>0</v>
      </c>
      <c r="BA16" s="45" t="str">
        <f t="shared" si="16"/>
        <v>جمهوری چک</v>
      </c>
      <c r="BB16" s="45">
        <f t="shared" si="17"/>
        <v>0</v>
      </c>
      <c r="BC16" s="45" t="str">
        <f t="shared" si="18"/>
        <v>جمهوری چک</v>
      </c>
      <c r="BD16" s="45">
        <f t="shared" si="19"/>
        <v>0</v>
      </c>
      <c r="BE16" s="45" t="s">
        <v>62</v>
      </c>
      <c r="BF16" s="45">
        <v>-2</v>
      </c>
      <c r="BG16" s="45" t="s">
        <v>730</v>
      </c>
      <c r="BH16" s="45">
        <v>10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customHeight="1" thickBot="1">
      <c r="A17" s="38" t="str">
        <f>CONCATENATE(12+IF(GMT&gt;4,1,0)," ",INDEX(T,80,language))</f>
        <v>12 ژوئن</v>
      </c>
      <c r="B17" s="39">
        <f>TIME(19+GMT,0,0)</f>
        <v>0.9166666666666666</v>
      </c>
      <c r="C17" s="34" t="str">
        <f>R35</f>
        <v>ایتالیا</v>
      </c>
      <c r="D17" s="27"/>
      <c r="E17" s="27"/>
      <c r="F17" s="35" t="str">
        <f>R36</f>
        <v>غنا</v>
      </c>
      <c r="J17" s="13" t="str">
        <f>VLOOKUP(1,Q14:X17,2,FALSE)</f>
        <v>پاراگوئه</v>
      </c>
      <c r="K17" s="14">
        <f>VLOOKUP(1,Q14:X17,3,FALSE)</f>
        <v>0</v>
      </c>
      <c r="L17" s="14">
        <f>VLOOKUP(1,Q14:X17,4,FALSE)</f>
        <v>0</v>
      </c>
      <c r="M17" s="14">
        <f>VLOOKUP(1,Q14:X17,5,FALSE)</f>
        <v>1</v>
      </c>
      <c r="N17" s="14" t="str">
        <f>CONCATENATE(VLOOKUP(1,Q14:X17,6,FALSE)," - ",VLOOKUP(1,Q14:X17,7,FALSE))</f>
        <v>0 - 1</v>
      </c>
      <c r="O17" s="15">
        <f>VLOOKUP(1,Q14:X17,8,FALSE)</f>
        <v>0</v>
      </c>
      <c r="Q17" s="44">
        <f>IF(Y17&gt;Y14,1,0)+IF(Y17&gt;Y15,1,0)+IF(Y17&gt;Y16,1,0)+IF(Y17&gt;Y17,1,0)+1</f>
        <v>2</v>
      </c>
      <c r="R17" s="45" t="str">
        <f>INDEX(T,10,language)</f>
        <v>سوئد</v>
      </c>
      <c r="S17" s="46">
        <f>COUNTIF(AS7:AT54,CONCATENATE(R17,"_win"))</f>
        <v>0</v>
      </c>
      <c r="T17" s="46">
        <f>COUNTIF(AS7:AT54,CONCATENATE(R17,"_draw"))</f>
        <v>1</v>
      </c>
      <c r="U17" s="46">
        <f>COUNTIF(AS7:AT54,CONCATENATE(R17,"_lose"))</f>
        <v>0</v>
      </c>
      <c r="V17" s="46">
        <f>SUMIF(AO7:AO54,CONCATENATE("=",R17),AP7:AP54)+SUMIF(AK7:AK54,CONCATENATE("=",R17),AL7:AL54)</f>
        <v>0</v>
      </c>
      <c r="W17" s="46">
        <f>SUMIF(AQ7:AQ54,CONCATENATE("=",R17),AR7:AR54)+SUMIF(AM7:AM54,CONCATENATE("=",R17),AN7:AN54)</f>
        <v>0</v>
      </c>
      <c r="X17" s="46">
        <f>S17*3+T17</f>
        <v>1</v>
      </c>
      <c r="Y17" s="46">
        <f>0.1+AH17+V17*1000+(V17-W17)*100000+X17*10000000</f>
        <v>10000000.1</v>
      </c>
      <c r="Z17" s="45">
        <f>IF(COUNTIF(X14:X17,CONCATENATE("=",X17))=1,0,COUNTIF(X14:X17,CONCATENATE("=",X17)))*X17</f>
        <v>2</v>
      </c>
      <c r="AC17" s="46">
        <f>IF(X17=AB14,1,0)</f>
        <v>1</v>
      </c>
      <c r="AD17" s="46">
        <f>COUNTIF(AU7:AV54,CONCATENATE(R17,"_win"))</f>
        <v>0</v>
      </c>
      <c r="AE17" s="46">
        <f>SUMIF(BA7:BA54,CONCATENATE("=",R17),BB7:BB54)+SUMIF(AW7:AW54,CONCATENATE("=",R17),AX7:AX54)</f>
        <v>0</v>
      </c>
      <c r="AF17" s="46">
        <f>SUMIF(BC7:BC54,CONCATENATE("=",R17),BD7:BD54)+SUMIF(AY7:AY54,CONCATENATE("=",R17),AZ7:AZ54)</f>
        <v>0</v>
      </c>
      <c r="AG17" s="45">
        <f>300*AD17+(AE17-AF17)*10+AE17</f>
        <v>0</v>
      </c>
      <c r="AH17" s="45">
        <f>IF(AG17&gt;0,AG17,0)</f>
        <v>0</v>
      </c>
      <c r="AJ17" s="45">
        <f>VLOOKUP(F17,R7:AC59,12,FALSE)+VLOOKUP(C17,R7:AC59,12,FALSE)</f>
        <v>2</v>
      </c>
      <c r="AK17" s="45" t="str">
        <f t="shared" si="0"/>
        <v>ایتالیا</v>
      </c>
      <c r="AL17" s="45">
        <f t="shared" si="1"/>
        <v>0</v>
      </c>
      <c r="AM17" s="45" t="str">
        <f t="shared" si="2"/>
        <v>ایتالیا</v>
      </c>
      <c r="AN17" s="45">
        <f t="shared" si="3"/>
        <v>0</v>
      </c>
      <c r="AO17" s="45" t="str">
        <f t="shared" si="4"/>
        <v>غنا</v>
      </c>
      <c r="AP17" s="45">
        <f t="shared" si="5"/>
        <v>0</v>
      </c>
      <c r="AQ17" s="45" t="str">
        <f t="shared" si="6"/>
        <v>غنا</v>
      </c>
      <c r="AR17" s="45">
        <f t="shared" si="7"/>
        <v>0</v>
      </c>
      <c r="AS17" s="45">
        <f t="shared" si="8"/>
      </c>
      <c r="AT17" s="45">
        <f t="shared" si="9"/>
      </c>
      <c r="AU17" s="45">
        <f t="shared" si="10"/>
      </c>
      <c r="AV17" s="45">
        <f t="shared" si="11"/>
      </c>
      <c r="AW17" s="45" t="str">
        <f t="shared" si="12"/>
        <v>ایتالیا</v>
      </c>
      <c r="AX17" s="45">
        <f t="shared" si="13"/>
        <v>0</v>
      </c>
      <c r="AY17" s="45" t="str">
        <f t="shared" si="14"/>
        <v>ایتالیا</v>
      </c>
      <c r="AZ17" s="45">
        <f t="shared" si="15"/>
        <v>0</v>
      </c>
      <c r="BA17" s="45" t="str">
        <f t="shared" si="16"/>
        <v>غنا</v>
      </c>
      <c r="BB17" s="45">
        <f t="shared" si="17"/>
        <v>0</v>
      </c>
      <c r="BC17" s="45" t="str">
        <f t="shared" si="18"/>
        <v>غنا</v>
      </c>
      <c r="BD17" s="45">
        <f t="shared" si="19"/>
        <v>0</v>
      </c>
      <c r="BE17" s="45" t="s">
        <v>63</v>
      </c>
      <c r="BF17" s="45">
        <v>-1</v>
      </c>
      <c r="BG17" s="45" t="s">
        <v>804</v>
      </c>
      <c r="BH17" s="45">
        <v>11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customHeight="1" thickBot="1">
      <c r="A18" s="38" t="str">
        <f>CONCATENATE(13+IF(GMT&gt;10,1,0)," ",INDEX(T,80,language))</f>
        <v>13 ژوئن</v>
      </c>
      <c r="B18" s="39">
        <f>TIME(13+GMT,0,0)</f>
        <v>0.6666666666666666</v>
      </c>
      <c r="C18" s="34" t="str">
        <f>R51</f>
        <v>کره جنوبی</v>
      </c>
      <c r="D18" s="27"/>
      <c r="E18" s="27"/>
      <c r="F18" s="35" t="str">
        <f>R52</f>
        <v>توگو</v>
      </c>
      <c r="Z18" s="45">
        <f>MAX(Z14:Z17)</f>
        <v>2</v>
      </c>
      <c r="AJ18" s="45">
        <f>VLOOKUP(F18,R7:AC59,12,FALSE)+VLOOKUP(C18,R7:AC59,12,FALSE)</f>
        <v>2</v>
      </c>
      <c r="AK18" s="45" t="str">
        <f t="shared" si="0"/>
        <v>کره جنوبی</v>
      </c>
      <c r="AL18" s="45">
        <f t="shared" si="1"/>
        <v>0</v>
      </c>
      <c r="AM18" s="45" t="str">
        <f t="shared" si="2"/>
        <v>کره جنوبی</v>
      </c>
      <c r="AN18" s="45">
        <f t="shared" si="3"/>
        <v>0</v>
      </c>
      <c r="AO18" s="45" t="str">
        <f t="shared" si="4"/>
        <v>توگو</v>
      </c>
      <c r="AP18" s="45">
        <f t="shared" si="5"/>
        <v>0</v>
      </c>
      <c r="AQ18" s="45" t="str">
        <f t="shared" si="6"/>
        <v>توگو</v>
      </c>
      <c r="AR18" s="45">
        <f t="shared" si="7"/>
        <v>0</v>
      </c>
      <c r="AS18" s="45">
        <f t="shared" si="8"/>
      </c>
      <c r="AT18" s="45">
        <f t="shared" si="9"/>
      </c>
      <c r="AU18" s="45">
        <f t="shared" si="10"/>
      </c>
      <c r="AV18" s="45">
        <f t="shared" si="11"/>
      </c>
      <c r="AW18" s="45" t="str">
        <f t="shared" si="12"/>
        <v>کره جنوبی</v>
      </c>
      <c r="AX18" s="45">
        <f t="shared" si="13"/>
        <v>0</v>
      </c>
      <c r="AY18" s="45" t="str">
        <f t="shared" si="14"/>
        <v>کره جنوبی</v>
      </c>
      <c r="AZ18" s="45">
        <f t="shared" si="15"/>
        <v>0</v>
      </c>
      <c r="BA18" s="45" t="str">
        <f t="shared" si="16"/>
        <v>توگو</v>
      </c>
      <c r="BB18" s="45">
        <f t="shared" si="17"/>
        <v>0</v>
      </c>
      <c r="BC18" s="45" t="str">
        <f t="shared" si="18"/>
        <v>توگو</v>
      </c>
      <c r="BD18" s="45">
        <f t="shared" si="19"/>
        <v>0</v>
      </c>
      <c r="BE18" s="45" t="s">
        <v>56</v>
      </c>
      <c r="BF18" s="45">
        <v>0</v>
      </c>
      <c r="BG18" s="45" t="s">
        <v>959</v>
      </c>
      <c r="BH18" s="45">
        <v>12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customHeight="1" thickBot="1">
      <c r="A19" s="38" t="str">
        <f>CONCATENATE(13+IF(GMT&gt;7,1,0)," ",INDEX(T,80,language))</f>
        <v>13 ژوئن</v>
      </c>
      <c r="B19" s="39">
        <f>TIME(16+GMT,0,0)</f>
        <v>0.7916666666666666</v>
      </c>
      <c r="C19" s="34" t="str">
        <f>R49</f>
        <v>فرانسه</v>
      </c>
      <c r="D19" s="27"/>
      <c r="E19" s="27"/>
      <c r="F19" s="35" t="str">
        <f>R50</f>
        <v>سوئیس</v>
      </c>
      <c r="J19" s="68" t="str">
        <f>CONCATENATE(INDEX(T,40,language)," C")</f>
        <v>گروه C</v>
      </c>
      <c r="K19" s="70" t="str">
        <f>INDEX(T,35,language)</f>
        <v>برد</v>
      </c>
      <c r="L19" s="70" t="str">
        <f>INDEX(T,36,language)</f>
        <v>تساوی</v>
      </c>
      <c r="M19" s="70" t="str">
        <f>INDEX(T,37,language)</f>
        <v>باخت</v>
      </c>
      <c r="N19" s="70" t="str">
        <f>INDEX(T,38,language)</f>
        <v>خورده – زده</v>
      </c>
      <c r="O19" s="72" t="str">
        <f>INDEX(T,39,language)</f>
        <v>امتیاز</v>
      </c>
      <c r="AJ19" s="45">
        <f>VLOOKUP(F19,R7:AC59,12,FALSE)+VLOOKUP(C19,R7:AC59,12,FALSE)</f>
        <v>2</v>
      </c>
      <c r="AK19" s="45" t="str">
        <f t="shared" si="0"/>
        <v>فرانسه</v>
      </c>
      <c r="AL19" s="45">
        <f t="shared" si="1"/>
        <v>0</v>
      </c>
      <c r="AM19" s="45" t="str">
        <f t="shared" si="2"/>
        <v>فرانسه</v>
      </c>
      <c r="AN19" s="45">
        <f t="shared" si="3"/>
        <v>0</v>
      </c>
      <c r="AO19" s="45" t="str">
        <f t="shared" si="4"/>
        <v>سوئیس</v>
      </c>
      <c r="AP19" s="45">
        <f t="shared" si="5"/>
        <v>0</v>
      </c>
      <c r="AQ19" s="45" t="str">
        <f t="shared" si="6"/>
        <v>سوئیس</v>
      </c>
      <c r="AR19" s="45">
        <f t="shared" si="7"/>
        <v>0</v>
      </c>
      <c r="AS19" s="45">
        <f t="shared" si="8"/>
      </c>
      <c r="AT19" s="45">
        <f t="shared" si="9"/>
      </c>
      <c r="AU19" s="45">
        <f t="shared" si="10"/>
      </c>
      <c r="AV19" s="45">
        <f t="shared" si="11"/>
      </c>
      <c r="AW19" s="45" t="str">
        <f t="shared" si="12"/>
        <v>فرانسه</v>
      </c>
      <c r="AX19" s="45">
        <f t="shared" si="13"/>
        <v>0</v>
      </c>
      <c r="AY19" s="45" t="str">
        <f t="shared" si="14"/>
        <v>فرانسه</v>
      </c>
      <c r="AZ19" s="45">
        <f t="shared" si="15"/>
        <v>0</v>
      </c>
      <c r="BA19" s="45" t="str">
        <f t="shared" si="16"/>
        <v>سوئیس</v>
      </c>
      <c r="BB19" s="45">
        <f t="shared" si="17"/>
        <v>0</v>
      </c>
      <c r="BC19" s="45" t="str">
        <f t="shared" si="18"/>
        <v>سوئیس</v>
      </c>
      <c r="BD19" s="45">
        <f t="shared" si="19"/>
        <v>0</v>
      </c>
      <c r="BE19" s="45" t="s">
        <v>64</v>
      </c>
      <c r="BF19" s="45">
        <v>1</v>
      </c>
      <c r="BG19" s="45" t="s">
        <v>1096</v>
      </c>
      <c r="BH19" s="45">
        <v>13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3.5" customHeight="1" thickBot="1">
      <c r="A20" s="38" t="str">
        <f>CONCATENATE(13+IF(GMT&gt;4,1,0)," ",INDEX(T,80,language))</f>
        <v>13 ژوئن</v>
      </c>
      <c r="B20" s="39">
        <f>TIME(19+GMT,0,0)</f>
        <v>0.9166666666666666</v>
      </c>
      <c r="C20" s="34" t="str">
        <f>R42</f>
        <v>برزیل</v>
      </c>
      <c r="D20" s="27"/>
      <c r="E20" s="27"/>
      <c r="F20" s="35" t="str">
        <f>R43</f>
        <v>کرواسی</v>
      </c>
      <c r="J20" s="69"/>
      <c r="K20" s="71"/>
      <c r="L20" s="71"/>
      <c r="M20" s="71"/>
      <c r="N20" s="71"/>
      <c r="O20" s="73"/>
      <c r="AJ20" s="45">
        <f>VLOOKUP(F20,R7:AC59,12,FALSE)+VLOOKUP(C20,R7:AC59,12,FALSE)</f>
        <v>2</v>
      </c>
      <c r="AK20" s="45" t="str">
        <f t="shared" si="0"/>
        <v>برزیل</v>
      </c>
      <c r="AL20" s="45">
        <f t="shared" si="1"/>
        <v>0</v>
      </c>
      <c r="AM20" s="45" t="str">
        <f t="shared" si="2"/>
        <v>برزیل</v>
      </c>
      <c r="AN20" s="45">
        <f t="shared" si="3"/>
        <v>0</v>
      </c>
      <c r="AO20" s="45" t="str">
        <f t="shared" si="4"/>
        <v>کرواسی</v>
      </c>
      <c r="AP20" s="45">
        <f t="shared" si="5"/>
        <v>0</v>
      </c>
      <c r="AQ20" s="45" t="str">
        <f t="shared" si="6"/>
        <v>کرواسی</v>
      </c>
      <c r="AR20" s="45">
        <f t="shared" si="7"/>
        <v>0</v>
      </c>
      <c r="AS20" s="45">
        <f t="shared" si="8"/>
      </c>
      <c r="AT20" s="45">
        <f t="shared" si="9"/>
      </c>
      <c r="AU20" s="45">
        <f t="shared" si="10"/>
      </c>
      <c r="AV20" s="45">
        <f t="shared" si="11"/>
      </c>
      <c r="AW20" s="45" t="str">
        <f t="shared" si="12"/>
        <v>برزیل</v>
      </c>
      <c r="AX20" s="45">
        <f t="shared" si="13"/>
        <v>0</v>
      </c>
      <c r="AY20" s="45" t="str">
        <f t="shared" si="14"/>
        <v>برزیل</v>
      </c>
      <c r="AZ20" s="45">
        <f t="shared" si="15"/>
        <v>0</v>
      </c>
      <c r="BA20" s="45" t="str">
        <f t="shared" si="16"/>
        <v>کرواسی</v>
      </c>
      <c r="BB20" s="45">
        <f t="shared" si="17"/>
        <v>0</v>
      </c>
      <c r="BC20" s="45" t="str">
        <f t="shared" si="18"/>
        <v>کرواسی</v>
      </c>
      <c r="BD20" s="45">
        <f t="shared" si="19"/>
        <v>0</v>
      </c>
      <c r="BE20" s="45" t="s">
        <v>65</v>
      </c>
      <c r="BF20" s="45">
        <v>2</v>
      </c>
      <c r="BG20" s="45" t="s">
        <v>1023</v>
      </c>
      <c r="BH20" s="45">
        <v>14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3.5" customHeight="1" thickBot="1">
      <c r="A21" s="38" t="str">
        <f>CONCATENATE(14+IF(GMT&gt;10,1,0)," ",INDEX(T,80,language))</f>
        <v>14 ژوئن</v>
      </c>
      <c r="B21" s="39">
        <f>TIME(13+GMT,0,0)</f>
        <v>0.6666666666666666</v>
      </c>
      <c r="C21" s="34" t="str">
        <f>R56</f>
        <v>اسپانیا</v>
      </c>
      <c r="D21" s="27"/>
      <c r="E21" s="27"/>
      <c r="F21" s="35" t="str">
        <f>R57</f>
        <v>اوکراین</v>
      </c>
      <c r="J21" s="6" t="str">
        <f>VLOOKUP(4,Q21:X24,2,FALSE)</f>
        <v>آرژانتین</v>
      </c>
      <c r="K21" s="7">
        <f>VLOOKUP(4,Q21:X24,3,FALSE)</f>
        <v>1</v>
      </c>
      <c r="L21" s="7">
        <f>VLOOKUP(4,Q21:X24,4,FALSE)</f>
        <v>0</v>
      </c>
      <c r="M21" s="7">
        <f>VLOOKUP(4,Q21:X24,5,FALSE)</f>
        <v>0</v>
      </c>
      <c r="N21" s="7" t="str">
        <f>CONCATENATE(VLOOKUP(4,Q21:X24,6,FALSE)," - ",VLOOKUP(4,Q21:X24,7,FALSE))</f>
        <v>2 - 1</v>
      </c>
      <c r="O21" s="8">
        <f>VLOOKUP(4,Q21:X24,8,FALSE)</f>
        <v>3</v>
      </c>
      <c r="Q21" s="44">
        <f>IF(Y21&gt;Y21,1,0)+IF(Y21&gt;Y22,1,0)+IF(Y21&gt;Y23,1,0)+IF(Y21&gt;Y24,1,0)+1</f>
        <v>4</v>
      </c>
      <c r="R21" s="45" t="str">
        <f>INDEX(T,11,language)</f>
        <v>آرژانتین</v>
      </c>
      <c r="S21" s="46">
        <f>COUNTIF(AS7:AT54,CONCATENATE(R21,"_win"))</f>
        <v>1</v>
      </c>
      <c r="T21" s="46">
        <f>COUNTIF(AS7:AT54,CONCATENATE(R21,"_draw"))</f>
        <v>0</v>
      </c>
      <c r="U21" s="46">
        <f>COUNTIF(AS7:AT54,CONCATENATE(R21,"_lose"))</f>
        <v>0</v>
      </c>
      <c r="V21" s="46">
        <f>SUMIF(AO7:AO54,CONCATENATE("=",R21),AP7:AP54)+SUMIF(AK7:AK54,CONCATENATE("=",R21),AL7:AL54)</f>
        <v>2</v>
      </c>
      <c r="W21" s="46">
        <f>SUMIF(AQ7:AQ54,CONCATENATE("=",R21),AR7:AR54)+SUMIF(AM7:AM54,CONCATENATE("=",R21),AN7:AN54)</f>
        <v>1</v>
      </c>
      <c r="X21" s="46">
        <f>S21*3+T21</f>
        <v>3</v>
      </c>
      <c r="Y21" s="46">
        <f>0.4+AH21+V21*1000+(V21-W21)*100000+X21*10000000</f>
        <v>30102000.4</v>
      </c>
      <c r="Z21" s="45">
        <f>IF(COUNTIF(X21:X24,CONCATENATE("=",X21))=1,0,COUNTIF(X21:X24,CONCATENATE("=",X21)))*X21</f>
        <v>0</v>
      </c>
      <c r="AA21" s="45" t="str">
        <f>IF(SUM(S21:U24)=12,J21,INDEX(T,52,language))</f>
        <v>برنده گروه C</v>
      </c>
      <c r="AB21" s="46">
        <f>IF(Z21=Z25,X21,IF(Z22=Z25,X22,IF(Z23=Z25,X23,X24)))</f>
        <v>3</v>
      </c>
      <c r="AC21" s="46">
        <f>IF(X21=AB21,1,0)</f>
        <v>1</v>
      </c>
      <c r="AD21" s="46">
        <f>COUNTIF(AU7:AV54,CONCATENATE(R21,"_win"))</f>
        <v>0</v>
      </c>
      <c r="AE21" s="46">
        <f>SUMIF(BA7:BA54,CONCATENATE("=",R21),BB7:BB54)+SUMIF(AW7:AW54,CONCATENATE("=",R21),AX7:AX54)</f>
        <v>0</v>
      </c>
      <c r="AF21" s="46">
        <f>SUMIF(BC7:BC54,CONCATENATE("=",R21),BD7:BD54)+SUMIF(AY7:AY54,CONCATENATE("=",R21),AZ7:AZ54)</f>
        <v>0</v>
      </c>
      <c r="AG21" s="45">
        <f>300*AD21+(AE21-AF21)*10+AE21</f>
        <v>0</v>
      </c>
      <c r="AH21" s="45">
        <f>IF(AG21&gt;0,AG21,0)</f>
        <v>0</v>
      </c>
      <c r="AJ21" s="45">
        <f>VLOOKUP(F21,R7:AC59,12,FALSE)+VLOOKUP(C21,R7:AC59,12,FALSE)</f>
        <v>2</v>
      </c>
      <c r="AK21" s="45" t="str">
        <f t="shared" si="0"/>
        <v>اسپانیا</v>
      </c>
      <c r="AL21" s="45">
        <f t="shared" si="1"/>
        <v>0</v>
      </c>
      <c r="AM21" s="45" t="str">
        <f t="shared" si="2"/>
        <v>اسپانیا</v>
      </c>
      <c r="AN21" s="45">
        <f t="shared" si="3"/>
        <v>0</v>
      </c>
      <c r="AO21" s="45" t="str">
        <f t="shared" si="4"/>
        <v>اوکراین</v>
      </c>
      <c r="AP21" s="45">
        <f t="shared" si="5"/>
        <v>0</v>
      </c>
      <c r="AQ21" s="45" t="str">
        <f t="shared" si="6"/>
        <v>اوکراین</v>
      </c>
      <c r="AR21" s="45">
        <f t="shared" si="7"/>
        <v>0</v>
      </c>
      <c r="AS21" s="45">
        <f t="shared" si="8"/>
      </c>
      <c r="AT21" s="45">
        <f t="shared" si="9"/>
      </c>
      <c r="AU21" s="45">
        <f t="shared" si="10"/>
      </c>
      <c r="AV21" s="45">
        <f t="shared" si="11"/>
      </c>
      <c r="AW21" s="45" t="str">
        <f t="shared" si="12"/>
        <v>اسپانیا</v>
      </c>
      <c r="AX21" s="45">
        <f t="shared" si="13"/>
        <v>0</v>
      </c>
      <c r="AY21" s="45" t="str">
        <f t="shared" si="14"/>
        <v>اسپانیا</v>
      </c>
      <c r="AZ21" s="45">
        <f t="shared" si="15"/>
        <v>0</v>
      </c>
      <c r="BA21" s="45" t="str">
        <f t="shared" si="16"/>
        <v>اوکراین</v>
      </c>
      <c r="BB21" s="45">
        <f t="shared" si="17"/>
        <v>0</v>
      </c>
      <c r="BC21" s="45" t="str">
        <f t="shared" si="18"/>
        <v>اوکراین</v>
      </c>
      <c r="BD21" s="45">
        <f t="shared" si="19"/>
        <v>0</v>
      </c>
      <c r="BE21" s="45" t="s">
        <v>66</v>
      </c>
      <c r="BF21" s="45">
        <v>3</v>
      </c>
      <c r="BG21" s="45" t="s">
        <v>1476</v>
      </c>
      <c r="BH21" s="45">
        <v>15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3.5" customHeight="1" thickBot="1">
      <c r="A22" s="38" t="str">
        <f>CONCATENATE(14+IF(GMT&gt;7,1,0)," ",INDEX(T,80,language))</f>
        <v>14 ژوئن</v>
      </c>
      <c r="B22" s="39">
        <f>TIME(16+GMT,0,0)</f>
        <v>0.7916666666666666</v>
      </c>
      <c r="C22" s="34" t="str">
        <f>R58</f>
        <v>تونس</v>
      </c>
      <c r="D22" s="27"/>
      <c r="E22" s="27"/>
      <c r="F22" s="35" t="str">
        <f>R59</f>
        <v>عربستان سعودی</v>
      </c>
      <c r="J22" s="10" t="str">
        <f>VLOOKUP(3,Q21:X24,2,FALSE)</f>
        <v>صربستان و مونته نگرو</v>
      </c>
      <c r="K22" s="11">
        <f>VLOOKUP(3,Q21:X24,3,FALSE)</f>
        <v>0</v>
      </c>
      <c r="L22" s="11">
        <f>VLOOKUP(3,Q21:X24,4,FALSE)</f>
        <v>0</v>
      </c>
      <c r="M22" s="11">
        <f>VLOOKUP(3,Q21:X24,5,FALSE)</f>
        <v>0</v>
      </c>
      <c r="N22" s="11" t="str">
        <f>CONCATENATE(VLOOKUP(3,Q21:X24,6,FALSE)," - ",VLOOKUP(3,Q21:X24,7,FALSE))</f>
        <v>0 - 0</v>
      </c>
      <c r="O22" s="12">
        <f>VLOOKUP(3,Q21:X24,8,FALSE)</f>
        <v>0</v>
      </c>
      <c r="Q22" s="44">
        <f>IF(Y22&gt;Y21,1,0)+IF(Y22&gt;Y22,1,0)+IF(Y22&gt;Y23,1,0)+IF(Y22&gt;Y24,1,0)+1</f>
        <v>1</v>
      </c>
      <c r="R22" s="45" t="str">
        <f>INDEX(T,12,language)</f>
        <v>ساحل عاج</v>
      </c>
      <c r="S22" s="46">
        <f>COUNTIF(AS7:AT54,CONCATENATE(R22,"_win"))</f>
        <v>0</v>
      </c>
      <c r="T22" s="46">
        <f>COUNTIF(AS7:AT54,CONCATENATE(R22,"_draw"))</f>
        <v>0</v>
      </c>
      <c r="U22" s="46">
        <f>COUNTIF(AS7:AT54,CONCATENATE(R22,"_lose"))</f>
        <v>1</v>
      </c>
      <c r="V22" s="46">
        <f>SUMIF(AO7:AO54,CONCATENATE("=",R22),AP7:AP54)+SUMIF(AK7:AK54,CONCATENATE("=",R22),AL7:AL54)</f>
        <v>1</v>
      </c>
      <c r="W22" s="46">
        <f>SUMIF(AQ7:AQ54,CONCATENATE("=",R22),AR7:AR54)+SUMIF(AM7:AM54,CONCATENATE("=",R22),AN7:AN54)</f>
        <v>2</v>
      </c>
      <c r="X22" s="46">
        <f>S22*3+T22</f>
        <v>0</v>
      </c>
      <c r="Y22" s="46">
        <f>0.3+AH22+V22*1000+(V22-W22)*100000+X22*10000000</f>
        <v>-98999.7</v>
      </c>
      <c r="Z22" s="45">
        <f>IF(COUNTIF(X21:X24,CONCATENATE("=",X22))=1,0,COUNTIF(X21:X24,CONCATENATE("=",X22)))*X22</f>
        <v>0</v>
      </c>
      <c r="AA22" s="45" t="str">
        <f>IF(SUM(S21:U24)=12,J22,INDEX(T,53,language))</f>
        <v>دوم گروه C</v>
      </c>
      <c r="AC22" s="46">
        <f>IF(X22=AB21,1,0)</f>
        <v>0</v>
      </c>
      <c r="AD22" s="46">
        <f>COUNTIF(AU7:AV54,CONCATENATE(R22,"_win"))</f>
        <v>0</v>
      </c>
      <c r="AE22" s="46">
        <f>SUMIF(BA7:BA54,CONCATENATE("=",R22),BB7:BB54)+SUMIF(AW7:AW54,CONCATENATE("=",R22),AX7:AX54)</f>
        <v>0</v>
      </c>
      <c r="AF22" s="46">
        <f>SUMIF(BC7:BC54,CONCATENATE("=",R22),BD7:BD54)+SUMIF(AY7:AY54,CONCATENATE("=",R22),AZ7:AZ54)</f>
        <v>0</v>
      </c>
      <c r="AG22" s="45">
        <f>300*AD22+(AE22-AF22)*10+AE22</f>
        <v>0</v>
      </c>
      <c r="AH22" s="45">
        <f>IF(AG22&gt;0,AG22,0)</f>
        <v>0</v>
      </c>
      <c r="AJ22" s="45">
        <f>VLOOKUP(F22,R7:AC59,12,FALSE)+VLOOKUP(C22,R7:AC59,12,FALSE)</f>
        <v>2</v>
      </c>
      <c r="AK22" s="45" t="str">
        <f t="shared" si="0"/>
        <v>تونس</v>
      </c>
      <c r="AL22" s="45">
        <f t="shared" si="1"/>
        <v>0</v>
      </c>
      <c r="AM22" s="45" t="str">
        <f t="shared" si="2"/>
        <v>تونس</v>
      </c>
      <c r="AN22" s="45">
        <f t="shared" si="3"/>
        <v>0</v>
      </c>
      <c r="AO22" s="45" t="str">
        <f t="shared" si="4"/>
        <v>عربستان سعودی</v>
      </c>
      <c r="AP22" s="45">
        <f t="shared" si="5"/>
        <v>0</v>
      </c>
      <c r="AQ22" s="45" t="str">
        <f t="shared" si="6"/>
        <v>عربستان سعودی</v>
      </c>
      <c r="AR22" s="45">
        <f t="shared" si="7"/>
        <v>0</v>
      </c>
      <c r="AS22" s="45">
        <f t="shared" si="8"/>
      </c>
      <c r="AT22" s="45">
        <f t="shared" si="9"/>
      </c>
      <c r="AU22" s="45">
        <f t="shared" si="10"/>
      </c>
      <c r="AV22" s="45">
        <f t="shared" si="11"/>
      </c>
      <c r="AW22" s="45" t="str">
        <f t="shared" si="12"/>
        <v>تونس</v>
      </c>
      <c r="AX22" s="45">
        <f t="shared" si="13"/>
        <v>0</v>
      </c>
      <c r="AY22" s="45" t="str">
        <f t="shared" si="14"/>
        <v>تونس</v>
      </c>
      <c r="AZ22" s="45">
        <f t="shared" si="15"/>
        <v>0</v>
      </c>
      <c r="BA22" s="45" t="str">
        <f t="shared" si="16"/>
        <v>عربستان سعودی</v>
      </c>
      <c r="BB22" s="45">
        <f t="shared" si="17"/>
        <v>0</v>
      </c>
      <c r="BC22" s="45" t="str">
        <f t="shared" si="18"/>
        <v>عربستان سعودی</v>
      </c>
      <c r="BD22" s="45">
        <f t="shared" si="19"/>
        <v>0</v>
      </c>
      <c r="BE22" s="45" t="s">
        <v>67</v>
      </c>
      <c r="BF22" s="45">
        <v>4</v>
      </c>
      <c r="BG22" s="45" t="s">
        <v>1558</v>
      </c>
      <c r="BH22" s="45">
        <v>16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3.5" customHeight="1" thickBot="1">
      <c r="A23" s="38" t="str">
        <f>CONCATENATE(14+IF(GMT&gt;4,1,0)," ",INDEX(T,80,language))</f>
        <v>14 ژوئن</v>
      </c>
      <c r="B23" s="39">
        <f>TIME(19+GMT,0,0)</f>
        <v>0.9166666666666666</v>
      </c>
      <c r="C23" s="33" t="str">
        <f>R7</f>
        <v>آلمان</v>
      </c>
      <c r="D23" s="27"/>
      <c r="E23" s="27"/>
      <c r="F23" s="35" t="str">
        <f>R9</f>
        <v>لهستان</v>
      </c>
      <c r="J23" s="10" t="str">
        <f>VLOOKUP(2,Q21:X24,2,FALSE)</f>
        <v>هلند</v>
      </c>
      <c r="K23" s="11">
        <f>VLOOKUP(2,Q21:X24,3,FALSE)</f>
        <v>0</v>
      </c>
      <c r="L23" s="11">
        <f>VLOOKUP(2,Q21:X24,4,FALSE)</f>
        <v>0</v>
      </c>
      <c r="M23" s="11">
        <f>VLOOKUP(2,Q21:X24,5,FALSE)</f>
        <v>0</v>
      </c>
      <c r="N23" s="11" t="str">
        <f>CONCATENATE(VLOOKUP(2,Q21:X24,6,FALSE)," - ",VLOOKUP(2,Q21:X24,7,FALSE))</f>
        <v>0 - 0</v>
      </c>
      <c r="O23" s="12">
        <f>VLOOKUP(2,Q21:X24,8,FALSE)</f>
        <v>0</v>
      </c>
      <c r="Q23" s="44">
        <f>IF(Y23&gt;Y21,1,0)+IF(Y23&gt;Y22,1,0)+IF(Y23&gt;Y23,1,0)+IF(Y23&gt;Y24,1,0)+1</f>
        <v>3</v>
      </c>
      <c r="R23" s="45" t="str">
        <f>INDEX(T,13,language)</f>
        <v>صربستان و مونته نگرو</v>
      </c>
      <c r="S23" s="46">
        <f>COUNTIF(AS7:AT54,CONCATENATE(R23,"_win"))</f>
        <v>0</v>
      </c>
      <c r="T23" s="46">
        <f>COUNTIF(AS7:AT54,CONCATENATE(R23,"_draw"))</f>
        <v>0</v>
      </c>
      <c r="U23" s="46">
        <f>COUNTIF(AS7:AT54,CONCATENATE(R23,"_lose"))</f>
        <v>0</v>
      </c>
      <c r="V23" s="46">
        <f>SUMIF(AO7:AO54,CONCATENATE("=",R23),AP7:AP54)+SUMIF(AK7:AK54,CONCATENATE("=",R23),AL7:AL54)</f>
        <v>0</v>
      </c>
      <c r="W23" s="46">
        <f>SUMIF(AQ7:AQ54,CONCATENATE("=",R23),AR7:AR54)+SUMIF(AM7:AM54,CONCATENATE("=",R23),AN7:AN54)</f>
        <v>0</v>
      </c>
      <c r="X23" s="46">
        <f>S23*3+T23</f>
        <v>0</v>
      </c>
      <c r="Y23" s="46">
        <f>0.2+AH23+V23*1000+(V23-W23)*100000+X23*10000000</f>
        <v>0.2</v>
      </c>
      <c r="Z23" s="45">
        <f>IF(COUNTIF(X21:X24,CONCATENATE("=",X23))=1,0,COUNTIF(X21:X24,CONCATENATE("=",X23)))*X23</f>
        <v>0</v>
      </c>
      <c r="AC23" s="46">
        <f>IF(X23=AB21,1,0)</f>
        <v>0</v>
      </c>
      <c r="AD23" s="46">
        <f>COUNTIF(AU7:AV54,CONCATENATE(R23,"_win"))</f>
        <v>0</v>
      </c>
      <c r="AE23" s="46">
        <f>SUMIF(BA7:BA54,CONCATENATE("=",R23),BB7:BB54)+SUMIF(AW7:AW54,CONCATENATE("=",R23),AX7:AX54)</f>
        <v>0</v>
      </c>
      <c r="AF23" s="46">
        <f>SUMIF(BC7:BC54,CONCATENATE("=",R23),BD7:BD54)+SUMIF(AY7:AY54,CONCATENATE("=",R23),AZ7:AZ54)</f>
        <v>0</v>
      </c>
      <c r="AG23" s="45">
        <f>300*AD23+(AE23-AF23)*10+AE23</f>
        <v>0</v>
      </c>
      <c r="AH23" s="45">
        <f>IF(AG23&gt;0,AG23,0)</f>
        <v>0</v>
      </c>
      <c r="AJ23" s="45">
        <f>VLOOKUP(F23,R7:AC59,12,FALSE)+VLOOKUP(C23,R7:AC59,12,FALSE)</f>
        <v>1</v>
      </c>
      <c r="AK23" s="45" t="str">
        <f t="shared" si="0"/>
        <v>آلمان</v>
      </c>
      <c r="AL23" s="45">
        <f t="shared" si="1"/>
        <v>0</v>
      </c>
      <c r="AM23" s="45" t="str">
        <f t="shared" si="2"/>
        <v>آلمان</v>
      </c>
      <c r="AN23" s="45">
        <f t="shared" si="3"/>
        <v>0</v>
      </c>
      <c r="AO23" s="45" t="str">
        <f t="shared" si="4"/>
        <v>لهستان</v>
      </c>
      <c r="AP23" s="45">
        <f t="shared" si="5"/>
        <v>0</v>
      </c>
      <c r="AQ23" s="45" t="str">
        <f t="shared" si="6"/>
        <v>لهستان</v>
      </c>
      <c r="AR23" s="45">
        <f t="shared" si="7"/>
        <v>0</v>
      </c>
      <c r="AS23" s="45">
        <f t="shared" si="8"/>
      </c>
      <c r="AT23" s="45">
        <f t="shared" si="9"/>
      </c>
      <c r="AU23" s="45">
        <f t="shared" si="10"/>
      </c>
      <c r="AV23" s="45">
        <f t="shared" si="11"/>
      </c>
      <c r="AW23" s="45">
        <f t="shared" si="12"/>
      </c>
      <c r="AX23" s="45">
        <f t="shared" si="13"/>
      </c>
      <c r="AY23" s="45">
        <f t="shared" si="14"/>
      </c>
      <c r="AZ23" s="45">
        <f t="shared" si="15"/>
      </c>
      <c r="BA23" s="45">
        <f t="shared" si="16"/>
      </c>
      <c r="BB23" s="45">
        <f t="shared" si="17"/>
      </c>
      <c r="BC23" s="45">
        <f t="shared" si="18"/>
      </c>
      <c r="BD23" s="45">
        <f t="shared" si="19"/>
      </c>
      <c r="BE23" s="45" t="s">
        <v>68</v>
      </c>
      <c r="BF23" s="45">
        <v>5</v>
      </c>
      <c r="BG23" s="45" t="s">
        <v>1172</v>
      </c>
      <c r="BH23" s="45">
        <v>17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3.5" customHeight="1" thickBot="1">
      <c r="A24" s="38" t="str">
        <f>CONCATENATE(15+IF(GMT&gt;10,1,0)," ",INDEX(T,80,language))</f>
        <v>15 ژوئن</v>
      </c>
      <c r="B24" s="39">
        <f>TIME(13+GMT,0,0)</f>
        <v>0.6666666666666666</v>
      </c>
      <c r="C24" s="34" t="str">
        <f>R10</f>
        <v>اکوادور</v>
      </c>
      <c r="D24" s="27"/>
      <c r="E24" s="27"/>
      <c r="F24" s="35" t="str">
        <f>R8</f>
        <v>كاستاريكا</v>
      </c>
      <c r="J24" s="13" t="str">
        <f>VLOOKUP(1,Q21:X24,2,FALSE)</f>
        <v>ساحل عاج</v>
      </c>
      <c r="K24" s="14">
        <f>VLOOKUP(1,Q21:X24,3,FALSE)</f>
        <v>0</v>
      </c>
      <c r="L24" s="14">
        <f>VLOOKUP(1,Q21:X24,4,FALSE)</f>
        <v>0</v>
      </c>
      <c r="M24" s="14">
        <f>VLOOKUP(1,Q21:X24,5,FALSE)</f>
        <v>1</v>
      </c>
      <c r="N24" s="14" t="str">
        <f>CONCATENATE(VLOOKUP(1,Q21:X24,6,FALSE)," - ",VLOOKUP(1,Q21:X24,7,FALSE))</f>
        <v>1 - 2</v>
      </c>
      <c r="O24" s="15">
        <f>VLOOKUP(1,Q21:X24,8,FALSE)</f>
        <v>0</v>
      </c>
      <c r="Q24" s="44">
        <f>IF(Y24&gt;Y21,1,0)+IF(Y24&gt;Y22,1,0)+IF(Y24&gt;Y23,1,0)+IF(Y24&gt;Y24,1,0)+1</f>
        <v>2</v>
      </c>
      <c r="R24" s="45" t="str">
        <f>INDEX(T,14,language)</f>
        <v>هلند</v>
      </c>
      <c r="S24" s="46">
        <f>COUNTIF(AS7:AT54,CONCATENATE(R24,"_win"))</f>
        <v>0</v>
      </c>
      <c r="T24" s="46">
        <f>COUNTIF(AS7:AT54,CONCATENATE(R24,"_draw"))</f>
        <v>0</v>
      </c>
      <c r="U24" s="46">
        <f>COUNTIF(AS7:AT54,CONCATENATE(R24,"_lose"))</f>
        <v>0</v>
      </c>
      <c r="V24" s="46">
        <f>SUMIF(AO7:AO54,CONCATENATE("=",R24),AP7:AP54)+SUMIF(AK7:AK54,CONCATENATE("=",R24),AL7:AL54)</f>
        <v>0</v>
      </c>
      <c r="W24" s="46">
        <f>SUMIF(AQ7:AQ54,CONCATENATE("=",R24),AR7:AR54)+SUMIF(AM7:AM54,CONCATENATE("=",R24),AN7:AN54)</f>
        <v>0</v>
      </c>
      <c r="X24" s="46">
        <f>S24*3+T24</f>
        <v>0</v>
      </c>
      <c r="Y24" s="46">
        <f>0.1+AH24+V24*1000+(V24-W24)*100000+X24*10000000</f>
        <v>0.1</v>
      </c>
      <c r="Z24" s="45">
        <f>IF(COUNTIF(X21:X24,CONCATENATE("=",X24))=1,0,COUNTIF(X21:X24,CONCATENATE("=",X24)))*X24</f>
        <v>0</v>
      </c>
      <c r="AC24" s="46">
        <f>IF(X24=AB21,1,0)</f>
        <v>0</v>
      </c>
      <c r="AD24" s="46">
        <f>COUNTIF(AU7:AV54,CONCATENATE(R24,"_win"))</f>
        <v>0</v>
      </c>
      <c r="AE24" s="46">
        <f>SUMIF(BA7:BA54,CONCATENATE("=",R24),BB7:BB54)+SUMIF(AW7:AW54,CONCATENATE("=",R24),AX7:AX54)</f>
        <v>0</v>
      </c>
      <c r="AF24" s="46">
        <f>SUMIF(BC7:BC54,CONCATENATE("=",R24),BD7:BD54)+SUMIF(AY7:AY54,CONCATENATE("=",R24),AZ7:AZ54)</f>
        <v>0</v>
      </c>
      <c r="AG24" s="45">
        <f>300*AD24+(AE24-AF24)*10+AE24</f>
        <v>0</v>
      </c>
      <c r="AH24" s="45">
        <f>IF(AG24&gt;0,AG24,0)</f>
        <v>0</v>
      </c>
      <c r="AJ24" s="45">
        <f>VLOOKUP(F24,R7:AC59,12,FALSE)+VLOOKUP(C24,R7:AC59,12,FALSE)</f>
        <v>1</v>
      </c>
      <c r="AK24" s="45" t="str">
        <f t="shared" si="0"/>
        <v>اکوادور</v>
      </c>
      <c r="AL24" s="45">
        <f t="shared" si="1"/>
        <v>0</v>
      </c>
      <c r="AM24" s="45" t="str">
        <f t="shared" si="2"/>
        <v>اکوادور</v>
      </c>
      <c r="AN24" s="45">
        <f t="shared" si="3"/>
        <v>0</v>
      </c>
      <c r="AO24" s="45" t="str">
        <f t="shared" si="4"/>
        <v>كاستاريكا</v>
      </c>
      <c r="AP24" s="45">
        <f t="shared" si="5"/>
        <v>0</v>
      </c>
      <c r="AQ24" s="45" t="str">
        <f t="shared" si="6"/>
        <v>كاستاريكا</v>
      </c>
      <c r="AR24" s="45">
        <f t="shared" si="7"/>
        <v>0</v>
      </c>
      <c r="AS24" s="45">
        <f t="shared" si="8"/>
      </c>
      <c r="AT24" s="45">
        <f t="shared" si="9"/>
      </c>
      <c r="AU24" s="45">
        <f t="shared" si="10"/>
      </c>
      <c r="AV24" s="45">
        <f t="shared" si="11"/>
      </c>
      <c r="AW24" s="45">
        <f t="shared" si="12"/>
      </c>
      <c r="AX24" s="45">
        <f t="shared" si="13"/>
      </c>
      <c r="AY24" s="45">
        <f t="shared" si="14"/>
      </c>
      <c r="AZ24" s="45">
        <f t="shared" si="15"/>
      </c>
      <c r="BA24" s="45">
        <f t="shared" si="16"/>
      </c>
      <c r="BB24" s="45">
        <f t="shared" si="17"/>
      </c>
      <c r="BC24" s="45">
        <f t="shared" si="18"/>
      </c>
      <c r="BD24" s="45">
        <f t="shared" si="19"/>
      </c>
      <c r="BE24" s="45" t="s">
        <v>69</v>
      </c>
      <c r="BF24" s="45">
        <v>6</v>
      </c>
      <c r="BG24" s="45" t="s">
        <v>490</v>
      </c>
      <c r="BH24" s="45">
        <v>18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13.5" customHeight="1" thickBot="1">
      <c r="A25" s="38" t="str">
        <f>CONCATENATE(15+IF(GMT&gt;7,1,0)," ",INDEX(T,80,language))</f>
        <v>15 ژوئن</v>
      </c>
      <c r="B25" s="39">
        <f>TIME(16+GMT,0,0)</f>
        <v>0.7916666666666666</v>
      </c>
      <c r="C25" s="34" t="str">
        <f>R14</f>
        <v>انگلستان</v>
      </c>
      <c r="D25" s="27"/>
      <c r="E25" s="27"/>
      <c r="F25" s="35" t="str">
        <f>R16</f>
        <v>ترینیداد و توباگو</v>
      </c>
      <c r="Z25" s="45">
        <f>MAX(Z21:Z24)</f>
        <v>0</v>
      </c>
      <c r="AJ25" s="45">
        <f>VLOOKUP(F25,R7:AC59,12,FALSE)+VLOOKUP(C25,R7:AC59,12,FALSE)</f>
        <v>1</v>
      </c>
      <c r="AK25" s="45" t="str">
        <f t="shared" si="0"/>
        <v>انگلستان</v>
      </c>
      <c r="AL25" s="45">
        <f t="shared" si="1"/>
        <v>0</v>
      </c>
      <c r="AM25" s="45" t="str">
        <f t="shared" si="2"/>
        <v>انگلستان</v>
      </c>
      <c r="AN25" s="45">
        <f t="shared" si="3"/>
        <v>0</v>
      </c>
      <c r="AO25" s="45" t="str">
        <f t="shared" si="4"/>
        <v>ترینیداد و توباگو</v>
      </c>
      <c r="AP25" s="45">
        <f t="shared" si="5"/>
        <v>0</v>
      </c>
      <c r="AQ25" s="45" t="str">
        <f t="shared" si="6"/>
        <v>ترینیداد و توباگو</v>
      </c>
      <c r="AR25" s="45">
        <f t="shared" si="7"/>
        <v>0</v>
      </c>
      <c r="AS25" s="45">
        <f t="shared" si="8"/>
      </c>
      <c r="AT25" s="45">
        <f t="shared" si="9"/>
      </c>
      <c r="AU25" s="45">
        <f t="shared" si="10"/>
      </c>
      <c r="AV25" s="45">
        <f t="shared" si="11"/>
      </c>
      <c r="AW25" s="45">
        <f t="shared" si="12"/>
      </c>
      <c r="AX25" s="45">
        <f t="shared" si="13"/>
      </c>
      <c r="AY25" s="45">
        <f t="shared" si="14"/>
      </c>
      <c r="AZ25" s="45">
        <f t="shared" si="15"/>
      </c>
      <c r="BA25" s="45">
        <f t="shared" si="16"/>
      </c>
      <c r="BB25" s="45">
        <f t="shared" si="17"/>
      </c>
      <c r="BC25" s="45">
        <f t="shared" si="18"/>
      </c>
      <c r="BD25" s="45">
        <f t="shared" si="19"/>
      </c>
      <c r="BE25" s="45" t="s">
        <v>70</v>
      </c>
      <c r="BF25" s="45">
        <v>7</v>
      </c>
      <c r="BG25" s="45" t="s">
        <v>708</v>
      </c>
      <c r="BH25" s="45">
        <v>19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13.5" customHeight="1" thickBot="1">
      <c r="A26" s="38" t="str">
        <f>CONCATENATE(15+IF(GMT&gt;4,1,0)," ",INDEX(T,80,language))</f>
        <v>15 ژوئن</v>
      </c>
      <c r="B26" s="39">
        <f>TIME(19+GMT,0,0)</f>
        <v>0.9166666666666666</v>
      </c>
      <c r="C26" s="34" t="str">
        <f>R17</f>
        <v>سوئد</v>
      </c>
      <c r="D26" s="27"/>
      <c r="E26" s="27"/>
      <c r="F26" s="35" t="str">
        <f>R15</f>
        <v>پاراگوئه</v>
      </c>
      <c r="J26" s="64" t="str">
        <f>CONCATENATE(INDEX(T,40,language)," D")</f>
        <v>گروه D</v>
      </c>
      <c r="K26" s="66" t="str">
        <f>INDEX(T,35,language)</f>
        <v>برد</v>
      </c>
      <c r="L26" s="66" t="str">
        <f>INDEX(T,36,language)</f>
        <v>تساوی</v>
      </c>
      <c r="M26" s="66" t="str">
        <f>INDEX(T,37,language)</f>
        <v>باخت</v>
      </c>
      <c r="N26" s="66" t="str">
        <f>INDEX(T,38,language)</f>
        <v>خورده – زده</v>
      </c>
      <c r="O26" s="74" t="str">
        <f>INDEX(T,39,language)</f>
        <v>امتیاز</v>
      </c>
      <c r="AJ26" s="45">
        <f>VLOOKUP(F26,R7:AC59,12,FALSE)+VLOOKUP(C26,R7:AC59,12,FALSE)</f>
        <v>1</v>
      </c>
      <c r="AK26" s="45" t="str">
        <f t="shared" si="0"/>
        <v>سوئد</v>
      </c>
      <c r="AL26" s="45">
        <f t="shared" si="1"/>
        <v>0</v>
      </c>
      <c r="AM26" s="45" t="str">
        <f t="shared" si="2"/>
        <v>سوئد</v>
      </c>
      <c r="AN26" s="45">
        <f t="shared" si="3"/>
        <v>0</v>
      </c>
      <c r="AO26" s="45" t="str">
        <f t="shared" si="4"/>
        <v>پاراگوئه</v>
      </c>
      <c r="AP26" s="45">
        <f t="shared" si="5"/>
        <v>0</v>
      </c>
      <c r="AQ26" s="45" t="str">
        <f t="shared" si="6"/>
        <v>پاراگوئه</v>
      </c>
      <c r="AR26" s="45">
        <f t="shared" si="7"/>
        <v>0</v>
      </c>
      <c r="AS26" s="45">
        <f t="shared" si="8"/>
      </c>
      <c r="AT26" s="45">
        <f t="shared" si="9"/>
      </c>
      <c r="AU26" s="45">
        <f t="shared" si="10"/>
      </c>
      <c r="AV26" s="45">
        <f t="shared" si="11"/>
      </c>
      <c r="AW26" s="45">
        <f t="shared" si="12"/>
      </c>
      <c r="AX26" s="45">
        <f t="shared" si="13"/>
      </c>
      <c r="AY26" s="45">
        <f t="shared" si="14"/>
      </c>
      <c r="AZ26" s="45">
        <f t="shared" si="15"/>
      </c>
      <c r="BA26" s="45">
        <f t="shared" si="16"/>
      </c>
      <c r="BB26" s="45">
        <f t="shared" si="17"/>
      </c>
      <c r="BC26" s="45">
        <f t="shared" si="18"/>
      </c>
      <c r="BD26" s="45">
        <f t="shared" si="19"/>
      </c>
      <c r="BE26" s="45" t="s">
        <v>71</v>
      </c>
      <c r="BF26" s="45">
        <v>8</v>
      </c>
      <c r="BG26" s="45" t="s">
        <v>1634</v>
      </c>
      <c r="BH26" s="45">
        <v>20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3.5" customHeight="1" thickBot="1">
      <c r="A27" s="38" t="str">
        <f>CONCATENATE(16+IF(GMT&gt;10,1,0)," ",INDEX(T,80,language))</f>
        <v>16 ژوئن</v>
      </c>
      <c r="B27" s="39">
        <f>TIME(13+GMT,0,0)</f>
        <v>0.6666666666666666</v>
      </c>
      <c r="C27" s="34" t="str">
        <f>R21</f>
        <v>آرژانتین</v>
      </c>
      <c r="D27" s="27"/>
      <c r="E27" s="27"/>
      <c r="F27" s="35" t="str">
        <f>R23</f>
        <v>صربستان و مونته نگرو</v>
      </c>
      <c r="J27" s="65"/>
      <c r="K27" s="67"/>
      <c r="L27" s="67"/>
      <c r="M27" s="67"/>
      <c r="N27" s="67"/>
      <c r="O27" s="75"/>
      <c r="AJ27" s="45">
        <f>VLOOKUP(F27,R7:AC59,12,FALSE)+VLOOKUP(C27,R7:AC59,12,FALSE)</f>
        <v>1</v>
      </c>
      <c r="AK27" s="45" t="str">
        <f t="shared" si="0"/>
        <v>آرژانتین</v>
      </c>
      <c r="AL27" s="45">
        <f t="shared" si="1"/>
        <v>0</v>
      </c>
      <c r="AM27" s="45" t="str">
        <f t="shared" si="2"/>
        <v>آرژانتین</v>
      </c>
      <c r="AN27" s="45">
        <f t="shared" si="3"/>
        <v>0</v>
      </c>
      <c r="AO27" s="45" t="str">
        <f t="shared" si="4"/>
        <v>صربستان و مونته نگرو</v>
      </c>
      <c r="AP27" s="45">
        <f t="shared" si="5"/>
        <v>0</v>
      </c>
      <c r="AQ27" s="45" t="str">
        <f t="shared" si="6"/>
        <v>صربستان و مونته نگرو</v>
      </c>
      <c r="AR27" s="45">
        <f t="shared" si="7"/>
        <v>0</v>
      </c>
      <c r="AS27" s="45">
        <f t="shared" si="8"/>
      </c>
      <c r="AT27" s="45">
        <f t="shared" si="9"/>
      </c>
      <c r="AU27" s="45">
        <f t="shared" si="10"/>
      </c>
      <c r="AV27" s="45">
        <f t="shared" si="11"/>
      </c>
      <c r="AW27" s="45">
        <f t="shared" si="12"/>
      </c>
      <c r="AX27" s="45">
        <f t="shared" si="13"/>
      </c>
      <c r="AY27" s="45">
        <f t="shared" si="14"/>
      </c>
      <c r="AZ27" s="45">
        <f t="shared" si="15"/>
      </c>
      <c r="BA27" s="45">
        <f t="shared" si="16"/>
      </c>
      <c r="BB27" s="45">
        <f t="shared" si="17"/>
      </c>
      <c r="BC27" s="45">
        <f t="shared" si="18"/>
      </c>
      <c r="BD27" s="45">
        <f t="shared" si="19"/>
      </c>
      <c r="BE27" s="45" t="s">
        <v>72</v>
      </c>
      <c r="BF27" s="45">
        <v>9</v>
      </c>
      <c r="BG27" s="45" t="s">
        <v>1254</v>
      </c>
      <c r="BH27" s="45">
        <v>21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3.5" customHeight="1" thickBot="1">
      <c r="A28" s="38" t="str">
        <f>CONCATENATE(16+IF(GMT&gt;7,1,0)," ",INDEX(T,80,language))</f>
        <v>16 ژوئن</v>
      </c>
      <c r="B28" s="39">
        <f>TIME(16+GMT,0,0)</f>
        <v>0.7916666666666666</v>
      </c>
      <c r="C28" s="34" t="str">
        <f>R24</f>
        <v>هلند</v>
      </c>
      <c r="D28" s="27"/>
      <c r="E28" s="27"/>
      <c r="F28" s="35" t="str">
        <f>R22</f>
        <v>ساحل عاج</v>
      </c>
      <c r="J28" s="6" t="str">
        <f>VLOOKUP(4,Q28:X31,2,FALSE)</f>
        <v>مکزیک</v>
      </c>
      <c r="K28" s="7">
        <f>VLOOKUP(4,Q28:X31,3,FALSE)</f>
        <v>0</v>
      </c>
      <c r="L28" s="7">
        <f>VLOOKUP(4,Q28:X31,4,FALSE)</f>
        <v>0</v>
      </c>
      <c r="M28" s="7">
        <f>VLOOKUP(4,Q28:X31,5,FALSE)</f>
        <v>0</v>
      </c>
      <c r="N28" s="7" t="str">
        <f>CONCATENATE(VLOOKUP(4,Q28:X31,6,FALSE)," - ",VLOOKUP(4,Q28:X31,7,FALSE))</f>
        <v>0 - 0</v>
      </c>
      <c r="O28" s="8">
        <f>VLOOKUP(4,Q28:X31,8,FALSE)</f>
        <v>0</v>
      </c>
      <c r="Q28" s="44">
        <f>IF(Y28&gt;Y28,1,0)+IF(Y28&gt;Y29,1,0)+IF(Y28&gt;Y30,1,0)+IF(Y28&gt;Y31,1,0)+1</f>
        <v>4</v>
      </c>
      <c r="R28" s="45" t="str">
        <f>INDEX(T,15,language)</f>
        <v>مکزیک</v>
      </c>
      <c r="S28" s="46">
        <f>COUNTIF(AS7:AT54,CONCATENATE(R28,"_win"))</f>
        <v>0</v>
      </c>
      <c r="T28" s="46">
        <f>COUNTIF(AS7:AT54,CONCATENATE(R28,"_draw"))</f>
        <v>0</v>
      </c>
      <c r="U28" s="46">
        <f>COUNTIF(AS7:AT54,CONCATENATE(R28,"_lose"))</f>
        <v>0</v>
      </c>
      <c r="V28" s="46">
        <f>SUMIF(AO7:AO54,CONCATENATE("=",R28),AP7:AP54)+SUMIF(AK7:AK54,CONCATENATE("=",R28),AL7:AL54)</f>
        <v>0</v>
      </c>
      <c r="W28" s="46">
        <f>SUMIF(AQ7:AQ54,CONCATENATE("=",R28),AR7:AR54)+SUMIF(AM7:AM54,CONCATENATE("=",R28),AN7:AN54)</f>
        <v>0</v>
      </c>
      <c r="X28" s="46">
        <f>S28*3+T28</f>
        <v>0</v>
      </c>
      <c r="Y28" s="46">
        <f>0.4+AH28+V28*1000+(V28-W28)*100000+X28*10000000</f>
        <v>0.4</v>
      </c>
      <c r="Z28" s="45">
        <f>IF(COUNTIF(X28:X31,CONCATENATE("=",X28))=1,0,COUNTIF(X28:X31,CONCATENATE("=",X28)))*X28</f>
        <v>0</v>
      </c>
      <c r="AA28" s="45" t="str">
        <f>IF(SUM(S28:U31)=12,J28,INDEX(T,54,language))</f>
        <v>برنده گروه D</v>
      </c>
      <c r="AB28" s="46">
        <f>IF(Z28=Z32,X28,IF(Z29=Z32,X29,IF(Z30=Z32,X30,X31)))</f>
        <v>0</v>
      </c>
      <c r="AC28" s="46">
        <f>IF(X28=AB28,1,0)</f>
        <v>1</v>
      </c>
      <c r="AD28" s="46">
        <f>COUNTIF(AU7:AV54,CONCATENATE(R28,"_win"))</f>
        <v>0</v>
      </c>
      <c r="AE28" s="46">
        <f>SUMIF(BA7:BA54,CONCATENATE("=",R28),BB7:BB54)+SUMIF(AW7:AW54,CONCATENATE("=",R28),AX7:AX54)</f>
        <v>0</v>
      </c>
      <c r="AF28" s="46">
        <f>SUMIF(BC7:BC54,CONCATENATE("=",R28),BD7:BD54)+SUMIF(AY7:AY54,CONCATENATE("=",R28),AZ7:AZ54)</f>
        <v>0</v>
      </c>
      <c r="AG28" s="45">
        <f>300*AD28+(AE28-AF28)*10+AE28</f>
        <v>0</v>
      </c>
      <c r="AH28" s="45">
        <f>IF(AG28&gt;0,AG28,0)</f>
        <v>0</v>
      </c>
      <c r="AJ28" s="45">
        <f>VLOOKUP(F28,R7:AC59,12,FALSE)+VLOOKUP(C28,R7:AC59,12,FALSE)</f>
        <v>0</v>
      </c>
      <c r="AK28" s="45" t="str">
        <f t="shared" si="0"/>
        <v>هلند</v>
      </c>
      <c r="AL28" s="45">
        <f t="shared" si="1"/>
        <v>0</v>
      </c>
      <c r="AM28" s="45" t="str">
        <f t="shared" si="2"/>
        <v>هلند</v>
      </c>
      <c r="AN28" s="45">
        <f t="shared" si="3"/>
        <v>0</v>
      </c>
      <c r="AO28" s="45" t="str">
        <f t="shared" si="4"/>
        <v>ساحل عاج</v>
      </c>
      <c r="AP28" s="45">
        <f t="shared" si="5"/>
        <v>0</v>
      </c>
      <c r="AQ28" s="45" t="str">
        <f t="shared" si="6"/>
        <v>ساحل عاج</v>
      </c>
      <c r="AR28" s="45">
        <f t="shared" si="7"/>
        <v>0</v>
      </c>
      <c r="AS28" s="45">
        <f t="shared" si="8"/>
      </c>
      <c r="AT28" s="45">
        <f t="shared" si="9"/>
      </c>
      <c r="AU28" s="45">
        <f t="shared" si="10"/>
      </c>
      <c r="AV28" s="45">
        <f t="shared" si="11"/>
      </c>
      <c r="AW28" s="45">
        <f t="shared" si="12"/>
      </c>
      <c r="AX28" s="45">
        <f t="shared" si="13"/>
      </c>
      <c r="AY28" s="45">
        <f t="shared" si="14"/>
      </c>
      <c r="AZ28" s="45">
        <f t="shared" si="15"/>
      </c>
      <c r="BA28" s="45">
        <f t="shared" si="16"/>
      </c>
      <c r="BB28" s="45">
        <f t="shared" si="17"/>
      </c>
      <c r="BC28" s="45">
        <f t="shared" si="18"/>
      </c>
      <c r="BD28" s="45">
        <f t="shared" si="19"/>
      </c>
      <c r="BE28" s="45" t="s">
        <v>73</v>
      </c>
      <c r="BF28" s="45">
        <v>10</v>
      </c>
      <c r="BG28" s="45" t="s">
        <v>1255</v>
      </c>
      <c r="BH28" s="45">
        <v>22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13.5" customHeight="1" thickBot="1">
      <c r="A29" s="38" t="str">
        <f>CONCATENATE(16+IF(GMT&gt;4,1,0)," ",INDEX(T,80,language))</f>
        <v>16 ژوئن</v>
      </c>
      <c r="B29" s="39">
        <f>TIME(19+GMT,0,0)</f>
        <v>0.9166666666666666</v>
      </c>
      <c r="C29" s="34" t="str">
        <f>R28</f>
        <v>مکزیک</v>
      </c>
      <c r="D29" s="27"/>
      <c r="E29" s="27"/>
      <c r="F29" s="35" t="str">
        <f>R30</f>
        <v>آنگولا</v>
      </c>
      <c r="J29" s="10" t="str">
        <f>VLOOKUP(3,Q28:X31,2,FALSE)</f>
        <v>ایران</v>
      </c>
      <c r="K29" s="11">
        <f>VLOOKUP(3,Q28:X31,3,FALSE)</f>
        <v>0</v>
      </c>
      <c r="L29" s="11">
        <f>VLOOKUP(3,Q28:X31,4,FALSE)</f>
        <v>0</v>
      </c>
      <c r="M29" s="11">
        <f>VLOOKUP(3,Q28:X31,5,FALSE)</f>
        <v>0</v>
      </c>
      <c r="N29" s="11" t="str">
        <f>CONCATENATE(VLOOKUP(3,Q28:X31,6,FALSE)," - ",VLOOKUP(3,Q28:X31,7,FALSE))</f>
        <v>0 - 0</v>
      </c>
      <c r="O29" s="12">
        <f>VLOOKUP(3,Q28:X31,8,FALSE)</f>
        <v>0</v>
      </c>
      <c r="Q29" s="44">
        <f>IF(Y29&gt;Y28,1,0)+IF(Y29&gt;Y29,1,0)+IF(Y29&gt;Y30,1,0)+IF(Y29&gt;Y31,1,0)+1</f>
        <v>3</v>
      </c>
      <c r="R29" s="45" t="str">
        <f>INDEX(T,16,language)</f>
        <v>ایران</v>
      </c>
      <c r="S29" s="46">
        <f>COUNTIF(AS7:AT54,CONCATENATE(R29,"_win"))</f>
        <v>0</v>
      </c>
      <c r="T29" s="46">
        <f>COUNTIF(AS7:AT54,CONCATENATE(R29,"_draw"))</f>
        <v>0</v>
      </c>
      <c r="U29" s="46">
        <f>COUNTIF(AS7:AT54,CONCATENATE(R29,"_lose"))</f>
        <v>0</v>
      </c>
      <c r="V29" s="46">
        <f>SUMIF(AO7:AO54,CONCATENATE("=",R29),AP7:AP54)+SUMIF(AK7:AK54,CONCATENATE("=",R29),AL7:AL54)</f>
        <v>0</v>
      </c>
      <c r="W29" s="46">
        <f>SUMIF(AQ7:AQ54,CONCATENATE("=",R29),AR7:AR54)+SUMIF(AM7:AM54,CONCATENATE("=",R29),AN7:AN54)</f>
        <v>0</v>
      </c>
      <c r="X29" s="46">
        <f>S29*3+T29</f>
        <v>0</v>
      </c>
      <c r="Y29" s="46">
        <f>0.3+AH29+V29*1000+(V29-W29)*100000+X29*10000000</f>
        <v>0.3</v>
      </c>
      <c r="Z29" s="45">
        <f>IF(COUNTIF(X28:X31,CONCATENATE("=",X29))=1,0,COUNTIF(X28:X31,CONCATENATE("=",X29)))*X29</f>
        <v>0</v>
      </c>
      <c r="AA29" s="45" t="str">
        <f>IF(SUM(S28:U31)=12,J29,INDEX(T,55,language))</f>
        <v>دوم گروه D</v>
      </c>
      <c r="AC29" s="46">
        <f>IF(X29=AB28,1,0)</f>
        <v>1</v>
      </c>
      <c r="AD29" s="46">
        <f>COUNTIF(AU7:AV54,CONCATENATE(R29,"_win"))</f>
        <v>0</v>
      </c>
      <c r="AE29" s="46">
        <f>SUMIF(BA7:BA54,CONCATENATE("=",R29),BB7:BB54)+SUMIF(AW7:AW54,CONCATENATE("=",R29),AX7:AX54)</f>
        <v>0</v>
      </c>
      <c r="AF29" s="46">
        <f>SUMIF(BC7:BC54,CONCATENATE("=",R29),BD7:BD54)+SUMIF(AY7:AY54,CONCATENATE("=",R29),AZ7:AZ54)</f>
        <v>0</v>
      </c>
      <c r="AG29" s="45">
        <f>300*AD29+(AE29-AF29)*10+AE29</f>
        <v>0</v>
      </c>
      <c r="AH29" s="45">
        <f>IF(AG29&gt;0,AG29,0)</f>
        <v>0</v>
      </c>
      <c r="AJ29" s="45">
        <f>VLOOKUP(F29,R7:AC59,12,FALSE)+VLOOKUP(C29,R7:AC59,12,FALSE)</f>
        <v>2</v>
      </c>
      <c r="AK29" s="45" t="str">
        <f t="shared" si="0"/>
        <v>مکزیک</v>
      </c>
      <c r="AL29" s="45">
        <f t="shared" si="1"/>
        <v>0</v>
      </c>
      <c r="AM29" s="45" t="str">
        <f t="shared" si="2"/>
        <v>مکزیک</v>
      </c>
      <c r="AN29" s="45">
        <f t="shared" si="3"/>
        <v>0</v>
      </c>
      <c r="AO29" s="45" t="str">
        <f t="shared" si="4"/>
        <v>آنگولا</v>
      </c>
      <c r="AP29" s="45">
        <f t="shared" si="5"/>
        <v>0</v>
      </c>
      <c r="AQ29" s="45" t="str">
        <f t="shared" si="6"/>
        <v>آنگولا</v>
      </c>
      <c r="AR29" s="45">
        <f t="shared" si="7"/>
        <v>0</v>
      </c>
      <c r="AS29" s="45">
        <f t="shared" si="8"/>
      </c>
      <c r="AT29" s="45">
        <f t="shared" si="9"/>
      </c>
      <c r="AU29" s="45">
        <f t="shared" si="10"/>
      </c>
      <c r="AV29" s="45">
        <f t="shared" si="11"/>
      </c>
      <c r="AW29" s="45" t="str">
        <f t="shared" si="12"/>
        <v>مکزیک</v>
      </c>
      <c r="AX29" s="45">
        <f t="shared" si="13"/>
        <v>0</v>
      </c>
      <c r="AY29" s="45" t="str">
        <f t="shared" si="14"/>
        <v>مکزیک</v>
      </c>
      <c r="AZ29" s="45">
        <f t="shared" si="15"/>
        <v>0</v>
      </c>
      <c r="BA29" s="45" t="str">
        <f t="shared" si="16"/>
        <v>آنگولا</v>
      </c>
      <c r="BB29" s="45">
        <f t="shared" si="17"/>
        <v>0</v>
      </c>
      <c r="BC29" s="45" t="str">
        <f t="shared" si="18"/>
        <v>آنگولا</v>
      </c>
      <c r="BD29" s="45">
        <f t="shared" si="19"/>
        <v>0</v>
      </c>
      <c r="BE29" s="45" t="s">
        <v>74</v>
      </c>
      <c r="BF29" s="45">
        <v>11</v>
      </c>
      <c r="BG29" s="45" t="s">
        <v>1256</v>
      </c>
      <c r="BH29" s="45">
        <v>23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 ht="13.5" customHeight="1" thickBot="1">
      <c r="A30" s="38" t="str">
        <f>CONCATENATE(17+IF(GMT&gt;10,1,0)," ",INDEX(T,80,language))</f>
        <v>17 ژوئن</v>
      </c>
      <c r="B30" s="39">
        <f>TIME(13+GMT,0,0)</f>
        <v>0.6666666666666666</v>
      </c>
      <c r="C30" s="34" t="str">
        <f>R31</f>
        <v>پرتقال</v>
      </c>
      <c r="D30" s="27"/>
      <c r="E30" s="27"/>
      <c r="F30" s="35" t="str">
        <f>R29</f>
        <v>ایران</v>
      </c>
      <c r="J30" s="10" t="str">
        <f>VLOOKUP(2,Q28:X31,2,FALSE)</f>
        <v>آنگولا</v>
      </c>
      <c r="K30" s="11">
        <f>VLOOKUP(2,Q28:X31,3,FALSE)</f>
        <v>0</v>
      </c>
      <c r="L30" s="11">
        <f>VLOOKUP(2,Q28:X31,4,FALSE)</f>
        <v>0</v>
      </c>
      <c r="M30" s="11">
        <f>VLOOKUP(2,Q28:X31,5,FALSE)</f>
        <v>0</v>
      </c>
      <c r="N30" s="11" t="str">
        <f>CONCATENATE(VLOOKUP(2,Q28:X31,6,FALSE)," - ",VLOOKUP(2,Q28:X31,7,FALSE))</f>
        <v>0 - 0</v>
      </c>
      <c r="O30" s="12">
        <f>VLOOKUP(2,Q28:X31,8,FALSE)</f>
        <v>0</v>
      </c>
      <c r="Q30" s="44">
        <f>IF(Y30&gt;Y28,1,0)+IF(Y30&gt;Y29,1,0)+IF(Y30&gt;Y30,1,0)+IF(Y30&gt;Y31,1,0)+1</f>
        <v>2</v>
      </c>
      <c r="R30" s="45" t="str">
        <f>INDEX(T,17,language)</f>
        <v>آنگولا</v>
      </c>
      <c r="S30" s="46">
        <f>COUNTIF(AS7:AT54,CONCATENATE(R30,"_win"))</f>
        <v>0</v>
      </c>
      <c r="T30" s="46">
        <f>COUNTIF(AS7:AT54,CONCATENATE(R30,"_draw"))</f>
        <v>0</v>
      </c>
      <c r="U30" s="46">
        <f>COUNTIF(AS7:AT54,CONCATENATE(R30,"_lose"))</f>
        <v>0</v>
      </c>
      <c r="V30" s="46">
        <f>SUMIF(AO7:AO54,CONCATENATE("=",R30),AP7:AP54)+SUMIF(AK7:AK54,CONCATENATE("=",R30),AL7:AL54)</f>
        <v>0</v>
      </c>
      <c r="W30" s="46">
        <f>SUMIF(AQ7:AQ54,CONCATENATE("=",R30),AR7:AR54)+SUMIF(AM7:AM54,CONCATENATE("=",R30),AN7:AN54)</f>
        <v>0</v>
      </c>
      <c r="X30" s="46">
        <f>S30*3+T30</f>
        <v>0</v>
      </c>
      <c r="Y30" s="46">
        <f>0.2+AH30+V30*1000+(V30-W30)*100000+X30*10000000</f>
        <v>0.2</v>
      </c>
      <c r="Z30" s="45">
        <f>IF(COUNTIF(X28:X31,CONCATENATE("=",X30))=1,0,COUNTIF(X28:X31,CONCATENATE("=",X30)))*X30</f>
        <v>0</v>
      </c>
      <c r="AC30" s="46">
        <f>IF(X30=AB28,1,0)</f>
        <v>1</v>
      </c>
      <c r="AD30" s="46">
        <f>COUNTIF(AU7:AV54,CONCATENATE(R30,"_win"))</f>
        <v>0</v>
      </c>
      <c r="AE30" s="46">
        <f>SUMIF(BA7:BA54,CONCATENATE("=",R30),BB7:BB54)+SUMIF(AW7:AW54,CONCATENATE("=",R30),AX7:AX54)</f>
        <v>0</v>
      </c>
      <c r="AF30" s="46">
        <f>SUMIF(BC7:BC54,CONCATENATE("=",R30),BD7:BD54)+SUMIF(AY7:AY54,CONCATENATE("=",R30),AZ7:AZ54)</f>
        <v>0</v>
      </c>
      <c r="AG30" s="45">
        <f>300*AD30+(AE30-AF30)*10+AE30</f>
        <v>0</v>
      </c>
      <c r="AH30" s="45">
        <f>IF(AG30&gt;0,AG30,0)</f>
        <v>0</v>
      </c>
      <c r="AJ30" s="45">
        <f>VLOOKUP(F30,R7:AC59,12,FALSE)+VLOOKUP(C30,R7:AC59,12,FALSE)</f>
        <v>2</v>
      </c>
      <c r="AK30" s="45" t="str">
        <f t="shared" si="0"/>
        <v>پرتقال</v>
      </c>
      <c r="AL30" s="45">
        <f t="shared" si="1"/>
        <v>0</v>
      </c>
      <c r="AM30" s="45" t="str">
        <f t="shared" si="2"/>
        <v>پرتقال</v>
      </c>
      <c r="AN30" s="45">
        <f t="shared" si="3"/>
        <v>0</v>
      </c>
      <c r="AO30" s="45" t="str">
        <f t="shared" si="4"/>
        <v>ایران</v>
      </c>
      <c r="AP30" s="45">
        <f t="shared" si="5"/>
        <v>0</v>
      </c>
      <c r="AQ30" s="45" t="str">
        <f t="shared" si="6"/>
        <v>ایران</v>
      </c>
      <c r="AR30" s="45">
        <f t="shared" si="7"/>
        <v>0</v>
      </c>
      <c r="AS30" s="45">
        <f t="shared" si="8"/>
      </c>
      <c r="AT30" s="45">
        <f t="shared" si="9"/>
      </c>
      <c r="AU30" s="45">
        <f t="shared" si="10"/>
      </c>
      <c r="AV30" s="45">
        <f t="shared" si="11"/>
      </c>
      <c r="AW30" s="45" t="str">
        <f t="shared" si="12"/>
        <v>پرتقال</v>
      </c>
      <c r="AX30" s="45">
        <f t="shared" si="13"/>
        <v>0</v>
      </c>
      <c r="AY30" s="45" t="str">
        <f t="shared" si="14"/>
        <v>پرتقال</v>
      </c>
      <c r="AZ30" s="45">
        <f t="shared" si="15"/>
        <v>0</v>
      </c>
      <c r="BA30" s="45" t="str">
        <f t="shared" si="16"/>
        <v>ایران</v>
      </c>
      <c r="BB30" s="45">
        <f t="shared" si="17"/>
        <v>0</v>
      </c>
      <c r="BC30" s="45" t="str">
        <f t="shared" si="18"/>
        <v>ایران</v>
      </c>
      <c r="BD30" s="45">
        <f t="shared" si="19"/>
        <v>0</v>
      </c>
      <c r="BE30" s="45" t="s">
        <v>75</v>
      </c>
      <c r="BF30" s="45">
        <v>12</v>
      </c>
      <c r="BG30" s="45" t="s">
        <v>1714</v>
      </c>
      <c r="BH30" s="45">
        <v>24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customHeight="1" thickBot="1">
      <c r="A31" s="38" t="str">
        <f>CONCATENATE(17+IF(GMT&gt;7,1,0)," ",INDEX(T,80,language))</f>
        <v>17 ژوئن</v>
      </c>
      <c r="B31" s="39">
        <f>TIME(16+GMT,0,0)</f>
        <v>0.7916666666666666</v>
      </c>
      <c r="C31" s="34" t="str">
        <f>R38</f>
        <v>جمهوری چک</v>
      </c>
      <c r="D31" s="27"/>
      <c r="E31" s="27"/>
      <c r="F31" s="35" t="str">
        <f>R36</f>
        <v>غنا</v>
      </c>
      <c r="J31" s="13" t="str">
        <f>VLOOKUP(1,Q28:X31,2,FALSE)</f>
        <v>پرتقال</v>
      </c>
      <c r="K31" s="14">
        <f>VLOOKUP(1,Q28:X31,3,FALSE)</f>
        <v>0</v>
      </c>
      <c r="L31" s="14">
        <f>VLOOKUP(1,Q28:X31,4,FALSE)</f>
        <v>0</v>
      </c>
      <c r="M31" s="14">
        <f>VLOOKUP(1,Q28:X31,5,FALSE)</f>
        <v>0</v>
      </c>
      <c r="N31" s="14" t="str">
        <f>CONCATENATE(VLOOKUP(1,Q28:X31,6,FALSE)," - ",VLOOKUP(1,Q28:X31,7,FALSE))</f>
        <v>0 - 0</v>
      </c>
      <c r="O31" s="15">
        <f>VLOOKUP(1,Q28:X31,8,FALSE)</f>
        <v>0</v>
      </c>
      <c r="Q31" s="44">
        <f>IF(Y31&gt;Y28,1,0)+IF(Y31&gt;Y29,1,0)+IF(Y31&gt;Y30,1,0)+IF(Y31&gt;Y31,1,0)+1</f>
        <v>1</v>
      </c>
      <c r="R31" s="45" t="str">
        <f>INDEX(T,18,language)</f>
        <v>پرتقال</v>
      </c>
      <c r="S31" s="46">
        <f>COUNTIF(AS7:AT54,CONCATENATE(R31,"_win"))</f>
        <v>0</v>
      </c>
      <c r="T31" s="46">
        <f>COUNTIF(AS7:AT54,CONCATENATE(R31,"_draw"))</f>
        <v>0</v>
      </c>
      <c r="U31" s="46">
        <f>COUNTIF(AS7:AT54,CONCATENATE(R31,"_lose"))</f>
        <v>0</v>
      </c>
      <c r="V31" s="46">
        <f>SUMIF(AO7:AO54,CONCATENATE("=",R31),AP7:AP54)+SUMIF(AK7:AK54,CONCATENATE("=",R31),AL7:AL54)</f>
        <v>0</v>
      </c>
      <c r="W31" s="46">
        <f>SUMIF(AQ7:AQ54,CONCATENATE("=",R31),AR7:AR54)+SUMIF(AM7:AM54,CONCATENATE("=",R31),AN7:AN54)</f>
        <v>0</v>
      </c>
      <c r="X31" s="46">
        <f>S31*3+T31</f>
        <v>0</v>
      </c>
      <c r="Y31" s="46">
        <f>0.1+AH31+V31*1000+(V31-W31)*100000+X31*10000000</f>
        <v>0.1</v>
      </c>
      <c r="Z31" s="45">
        <f>IF(COUNTIF(X28:X31,CONCATENATE("=",X31))=1,0,COUNTIF(X28:X31,CONCATENATE("=",X31)))*X31</f>
        <v>0</v>
      </c>
      <c r="AC31" s="46">
        <f>IF(X31=AB28,1,0)</f>
        <v>1</v>
      </c>
      <c r="AD31" s="46">
        <f>COUNTIF(AU7:AV54,CONCATENATE(R31,"_win"))</f>
        <v>0</v>
      </c>
      <c r="AE31" s="46">
        <f>SUMIF(BA7:BA54,CONCATENATE("=",R31),BB7:BB54)+SUMIF(AW7:AW54,CONCATENATE("=",R31),AX7:AX54)</f>
        <v>0</v>
      </c>
      <c r="AF31" s="46">
        <f>SUMIF(BC7:BC54,CONCATENATE("=",R31),BD7:BD54)+SUMIF(AY7:AY54,CONCATENATE("=",R31),AZ7:AZ54)</f>
        <v>0</v>
      </c>
      <c r="AG31" s="45">
        <f>300*AD31+(AE31-AF31)*10+AE31</f>
        <v>0</v>
      </c>
      <c r="AH31" s="45">
        <f>IF(AG31&gt;0,AG31,0)</f>
        <v>0</v>
      </c>
      <c r="AJ31" s="45">
        <f>VLOOKUP(F31,R7:AC59,12,FALSE)+VLOOKUP(C31,R7:AC59,12,FALSE)</f>
        <v>2</v>
      </c>
      <c r="AK31" s="45" t="str">
        <f t="shared" si="0"/>
        <v>جمهوری چک</v>
      </c>
      <c r="AL31" s="45">
        <f t="shared" si="1"/>
        <v>0</v>
      </c>
      <c r="AM31" s="45" t="str">
        <f t="shared" si="2"/>
        <v>جمهوری چک</v>
      </c>
      <c r="AN31" s="45">
        <f t="shared" si="3"/>
        <v>0</v>
      </c>
      <c r="AO31" s="45" t="str">
        <f t="shared" si="4"/>
        <v>غنا</v>
      </c>
      <c r="AP31" s="45">
        <f t="shared" si="5"/>
        <v>0</v>
      </c>
      <c r="AQ31" s="45" t="str">
        <f t="shared" si="6"/>
        <v>غنا</v>
      </c>
      <c r="AR31" s="45">
        <f t="shared" si="7"/>
        <v>0</v>
      </c>
      <c r="AS31" s="45">
        <f t="shared" si="8"/>
      </c>
      <c r="AT31" s="45">
        <f t="shared" si="9"/>
      </c>
      <c r="AU31" s="45">
        <f t="shared" si="10"/>
      </c>
      <c r="AV31" s="45">
        <f t="shared" si="11"/>
      </c>
      <c r="AW31" s="45" t="str">
        <f t="shared" si="12"/>
        <v>جمهوری چک</v>
      </c>
      <c r="AX31" s="45">
        <f t="shared" si="13"/>
        <v>0</v>
      </c>
      <c r="AY31" s="45" t="str">
        <f t="shared" si="14"/>
        <v>جمهوری چک</v>
      </c>
      <c r="AZ31" s="45">
        <f t="shared" si="15"/>
        <v>0</v>
      </c>
      <c r="BA31" s="45" t="str">
        <f t="shared" si="16"/>
        <v>غنا</v>
      </c>
      <c r="BB31" s="45">
        <f t="shared" si="17"/>
        <v>0</v>
      </c>
      <c r="BC31" s="45" t="str">
        <f t="shared" si="18"/>
        <v>غنا</v>
      </c>
      <c r="BD31" s="45">
        <f t="shared" si="19"/>
        <v>0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customHeight="1" thickBot="1">
      <c r="A32" s="38" t="str">
        <f>CONCATENATE(17+IF(GMT&gt;4,1,0)," ",INDEX(T,80,language))</f>
        <v>17 ژوئن</v>
      </c>
      <c r="B32" s="39">
        <f>TIME(19+GMT,0,0)</f>
        <v>0.9166666666666666</v>
      </c>
      <c r="C32" s="34" t="str">
        <f>R35</f>
        <v>ایتالیا</v>
      </c>
      <c r="D32" s="27"/>
      <c r="E32" s="27"/>
      <c r="F32" s="35" t="str">
        <f>R37</f>
        <v>آمریکا</v>
      </c>
      <c r="Z32" s="45">
        <f>MAX(Z28:Z31)</f>
        <v>0</v>
      </c>
      <c r="AJ32" s="45">
        <f>VLOOKUP(F32,R7:AC59,12,FALSE)+VLOOKUP(C32,R7:AC59,12,FALSE)</f>
        <v>2</v>
      </c>
      <c r="AK32" s="45" t="str">
        <f t="shared" si="0"/>
        <v>ایتالیا</v>
      </c>
      <c r="AL32" s="45">
        <f t="shared" si="1"/>
        <v>0</v>
      </c>
      <c r="AM32" s="45" t="str">
        <f t="shared" si="2"/>
        <v>ایتالیا</v>
      </c>
      <c r="AN32" s="45">
        <f t="shared" si="3"/>
        <v>0</v>
      </c>
      <c r="AO32" s="45" t="str">
        <f t="shared" si="4"/>
        <v>آمریکا</v>
      </c>
      <c r="AP32" s="45">
        <f t="shared" si="5"/>
        <v>0</v>
      </c>
      <c r="AQ32" s="45" t="str">
        <f t="shared" si="6"/>
        <v>آمریکا</v>
      </c>
      <c r="AR32" s="45">
        <f t="shared" si="7"/>
        <v>0</v>
      </c>
      <c r="AS32" s="45">
        <f t="shared" si="8"/>
      </c>
      <c r="AT32" s="45">
        <f t="shared" si="9"/>
      </c>
      <c r="AU32" s="45">
        <f t="shared" si="10"/>
      </c>
      <c r="AV32" s="45">
        <f t="shared" si="11"/>
      </c>
      <c r="AW32" s="45" t="str">
        <f t="shared" si="12"/>
        <v>ایتالیا</v>
      </c>
      <c r="AX32" s="45">
        <f t="shared" si="13"/>
        <v>0</v>
      </c>
      <c r="AY32" s="45" t="str">
        <f t="shared" si="14"/>
        <v>ایتالیا</v>
      </c>
      <c r="AZ32" s="45">
        <f t="shared" si="15"/>
        <v>0</v>
      </c>
      <c r="BA32" s="45" t="str">
        <f t="shared" si="16"/>
        <v>آمریکا</v>
      </c>
      <c r="BB32" s="45">
        <f t="shared" si="17"/>
        <v>0</v>
      </c>
      <c r="BC32" s="45" t="str">
        <f t="shared" si="18"/>
        <v>آمریکا</v>
      </c>
      <c r="BD32" s="45">
        <f t="shared" si="19"/>
        <v>0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customHeight="1" thickBot="1">
      <c r="A33" s="38" t="str">
        <f>CONCATENATE(18+IF(GMT&gt;10,1,0)," ",INDEX(T,80,language))</f>
        <v>18 ژوئن</v>
      </c>
      <c r="B33" s="39">
        <f>TIME(13+GMT,0,0)</f>
        <v>0.6666666666666666</v>
      </c>
      <c r="C33" s="34" t="str">
        <f>R45</f>
        <v>ژاپن</v>
      </c>
      <c r="D33" s="27"/>
      <c r="E33" s="27"/>
      <c r="F33" s="35" t="str">
        <f>R43</f>
        <v>کرواسی</v>
      </c>
      <c r="J33" s="68" t="str">
        <f>CONCATENATE(INDEX(T,40,language)," E")</f>
        <v>گروه E</v>
      </c>
      <c r="K33" s="70" t="str">
        <f>INDEX(T,35,language)</f>
        <v>برد</v>
      </c>
      <c r="L33" s="70" t="str">
        <f>INDEX(T,36,language)</f>
        <v>تساوی</v>
      </c>
      <c r="M33" s="70" t="str">
        <f>INDEX(T,37,language)</f>
        <v>باخت</v>
      </c>
      <c r="N33" s="70" t="str">
        <f>INDEX(T,38,language)</f>
        <v>خورده – زده</v>
      </c>
      <c r="O33" s="72" t="str">
        <f>INDEX(T,39,language)</f>
        <v>امتیاز</v>
      </c>
      <c r="AJ33" s="45">
        <f>VLOOKUP(F33,R7:AC59,12,FALSE)+VLOOKUP(C33,R7:AC59,12,FALSE)</f>
        <v>2</v>
      </c>
      <c r="AK33" s="45" t="str">
        <f t="shared" si="0"/>
        <v>ژاپن</v>
      </c>
      <c r="AL33" s="45">
        <f t="shared" si="1"/>
        <v>0</v>
      </c>
      <c r="AM33" s="45" t="str">
        <f t="shared" si="2"/>
        <v>ژاپن</v>
      </c>
      <c r="AN33" s="45">
        <f t="shared" si="3"/>
        <v>0</v>
      </c>
      <c r="AO33" s="45" t="str">
        <f t="shared" si="4"/>
        <v>کرواسی</v>
      </c>
      <c r="AP33" s="45">
        <f t="shared" si="5"/>
        <v>0</v>
      </c>
      <c r="AQ33" s="45" t="str">
        <f t="shared" si="6"/>
        <v>کرواسی</v>
      </c>
      <c r="AR33" s="45">
        <f t="shared" si="7"/>
        <v>0</v>
      </c>
      <c r="AS33" s="45">
        <f t="shared" si="8"/>
      </c>
      <c r="AT33" s="45">
        <f t="shared" si="9"/>
      </c>
      <c r="AU33" s="45">
        <f t="shared" si="10"/>
      </c>
      <c r="AV33" s="45">
        <f t="shared" si="11"/>
      </c>
      <c r="AW33" s="45" t="str">
        <f t="shared" si="12"/>
        <v>ژاپن</v>
      </c>
      <c r="AX33" s="45">
        <f t="shared" si="13"/>
        <v>0</v>
      </c>
      <c r="AY33" s="45" t="str">
        <f t="shared" si="14"/>
        <v>ژاپن</v>
      </c>
      <c r="AZ33" s="45">
        <f t="shared" si="15"/>
        <v>0</v>
      </c>
      <c r="BA33" s="45" t="str">
        <f t="shared" si="16"/>
        <v>کرواسی</v>
      </c>
      <c r="BB33" s="45">
        <f t="shared" si="17"/>
        <v>0</v>
      </c>
      <c r="BC33" s="45" t="str">
        <f t="shared" si="18"/>
        <v>کرواسی</v>
      </c>
      <c r="BD33" s="45">
        <f t="shared" si="19"/>
        <v>0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customHeight="1" thickBot="1">
      <c r="A34" s="38" t="str">
        <f>CONCATENATE(18+IF(GMT&gt;7,1,0)," ",INDEX(T,80,language))</f>
        <v>18 ژوئن</v>
      </c>
      <c r="B34" s="39">
        <f>TIME(16+GMT,0,0)</f>
        <v>0.7916666666666666</v>
      </c>
      <c r="C34" s="34" t="str">
        <f>R42</f>
        <v>برزیل</v>
      </c>
      <c r="D34" s="27"/>
      <c r="E34" s="27"/>
      <c r="F34" s="35" t="str">
        <f>R44</f>
        <v>استرالیا</v>
      </c>
      <c r="J34" s="69"/>
      <c r="K34" s="71"/>
      <c r="L34" s="71"/>
      <c r="M34" s="71"/>
      <c r="N34" s="71"/>
      <c r="O34" s="73"/>
      <c r="AJ34" s="45">
        <f>VLOOKUP(F34,R7:AC59,12,FALSE)+VLOOKUP(C34,R7:AC59,12,FALSE)</f>
        <v>2</v>
      </c>
      <c r="AK34" s="45" t="str">
        <f t="shared" si="0"/>
        <v>برزیل</v>
      </c>
      <c r="AL34" s="45">
        <f t="shared" si="1"/>
        <v>0</v>
      </c>
      <c r="AM34" s="45" t="str">
        <f t="shared" si="2"/>
        <v>برزیل</v>
      </c>
      <c r="AN34" s="45">
        <f t="shared" si="3"/>
        <v>0</v>
      </c>
      <c r="AO34" s="45" t="str">
        <f t="shared" si="4"/>
        <v>استرالیا</v>
      </c>
      <c r="AP34" s="45">
        <f t="shared" si="5"/>
        <v>0</v>
      </c>
      <c r="AQ34" s="45" t="str">
        <f t="shared" si="6"/>
        <v>استرالیا</v>
      </c>
      <c r="AR34" s="45">
        <f t="shared" si="7"/>
        <v>0</v>
      </c>
      <c r="AS34" s="45">
        <f t="shared" si="8"/>
      </c>
      <c r="AT34" s="45">
        <f t="shared" si="9"/>
      </c>
      <c r="AU34" s="45">
        <f t="shared" si="10"/>
      </c>
      <c r="AV34" s="45">
        <f t="shared" si="11"/>
      </c>
      <c r="AW34" s="45" t="str">
        <f t="shared" si="12"/>
        <v>برزیل</v>
      </c>
      <c r="AX34" s="45">
        <f t="shared" si="13"/>
        <v>0</v>
      </c>
      <c r="AY34" s="45" t="str">
        <f t="shared" si="14"/>
        <v>برزیل</v>
      </c>
      <c r="AZ34" s="45">
        <f t="shared" si="15"/>
        <v>0</v>
      </c>
      <c r="BA34" s="45" t="str">
        <f t="shared" si="16"/>
        <v>استرالیا</v>
      </c>
      <c r="BB34" s="45">
        <f t="shared" si="17"/>
        <v>0</v>
      </c>
      <c r="BC34" s="45" t="str">
        <f t="shared" si="18"/>
        <v>استرالیا</v>
      </c>
      <c r="BD34" s="45">
        <f t="shared" si="19"/>
        <v>0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3.5" customHeight="1" thickBot="1">
      <c r="A35" s="38" t="str">
        <f>CONCATENATE(18+IF(GMT&gt;4,1,0)," ",INDEX(T,80,language))</f>
        <v>18 ژوئن</v>
      </c>
      <c r="B35" s="39">
        <f>TIME(19+GMT,0,0)</f>
        <v>0.9166666666666666</v>
      </c>
      <c r="C35" s="34" t="str">
        <f>R49</f>
        <v>فرانسه</v>
      </c>
      <c r="D35" s="27"/>
      <c r="E35" s="27"/>
      <c r="F35" s="35" t="str">
        <f>R51</f>
        <v>کره جنوبی</v>
      </c>
      <c r="J35" s="6" t="str">
        <f>VLOOKUP(4,Q35:X38,2,FALSE)</f>
        <v>ایتالیا</v>
      </c>
      <c r="K35" s="7">
        <f>VLOOKUP(4,Q35:X38,3,FALSE)</f>
        <v>0</v>
      </c>
      <c r="L35" s="7">
        <f>VLOOKUP(4,Q35:X38,4,FALSE)</f>
        <v>0</v>
      </c>
      <c r="M35" s="7">
        <f>VLOOKUP(4,Q35:X38,5,FALSE)</f>
        <v>0</v>
      </c>
      <c r="N35" s="7" t="str">
        <f>CONCATENATE(VLOOKUP(4,Q35:X38,6,FALSE)," - ",VLOOKUP(4,Q35:X38,7,FALSE))</f>
        <v>0 - 0</v>
      </c>
      <c r="O35" s="8">
        <f>VLOOKUP(4,Q35:X38,8,FALSE)</f>
        <v>0</v>
      </c>
      <c r="Q35" s="44">
        <f>IF(Y35&gt;Y35,1,0)+IF(Y35&gt;Y36,1,0)+IF(Y35&gt;Y37,1,0)+IF(Y35&gt;Y38,1,0)+1</f>
        <v>4</v>
      </c>
      <c r="R35" s="45" t="str">
        <f>INDEX(T,19,language)</f>
        <v>ایتالیا</v>
      </c>
      <c r="S35" s="46">
        <f>COUNTIF(AS7:AT54,CONCATENATE(R35,"_win"))</f>
        <v>0</v>
      </c>
      <c r="T35" s="46">
        <f>COUNTIF(AS7:AT54,CONCATENATE(R35,"_draw"))</f>
        <v>0</v>
      </c>
      <c r="U35" s="46">
        <f>COUNTIF(AS7:AT54,CONCATENATE(R35,"_lose"))</f>
        <v>0</v>
      </c>
      <c r="V35" s="46">
        <f>SUMIF(AO7:AO54,CONCATENATE("=",R35),AP7:AP54)+SUMIF(AK7:AK54,CONCATENATE("=",R35),AL7:AL54)</f>
        <v>0</v>
      </c>
      <c r="W35" s="46">
        <f>SUMIF(AQ7:AQ54,CONCATENATE("=",R35),AR7:AR54)+SUMIF(AM7:AM54,CONCATENATE("=",R35),AN7:AN54)</f>
        <v>0</v>
      </c>
      <c r="X35" s="46">
        <f>S35*3+T35</f>
        <v>0</v>
      </c>
      <c r="Y35" s="46">
        <f>0.4+AH35+V35*1000+(V35-W35)*100000+X35*10000000</f>
        <v>0.4</v>
      </c>
      <c r="Z35" s="45">
        <f>IF(COUNTIF(X35:X38,CONCATENATE("=",X35))=1,0,COUNTIF(X35:X38,CONCATENATE("=",X35)))*X35</f>
        <v>0</v>
      </c>
      <c r="AA35" s="45" t="str">
        <f>IF(SUM(S35:U38)=12,J35,INDEX(T,56,language))</f>
        <v>برنده گروه E</v>
      </c>
      <c r="AB35" s="46">
        <f>IF(Z35=Z39,X35,IF(Z36=Z39,X36,IF(Z37=Z39,X37,X38)))</f>
        <v>0</v>
      </c>
      <c r="AC35" s="46">
        <f>IF(X35=AB35,1,0)</f>
        <v>1</v>
      </c>
      <c r="AD35" s="46">
        <f>COUNTIF(AU7:AV54,CONCATENATE(R35,"_win"))</f>
        <v>0</v>
      </c>
      <c r="AE35" s="46">
        <f>SUMIF(BA7:BA54,CONCATENATE("=",R35),BB7:BB54)+SUMIF(AW7:AW54,CONCATENATE("=",R35),AX7:AX54)</f>
        <v>0</v>
      </c>
      <c r="AF35" s="46">
        <f>SUMIF(BC7:BC54,CONCATENATE("=",R35),BD7:BD54)+SUMIF(AY7:AY54,CONCATENATE("=",R35),AZ7:AZ54)</f>
        <v>0</v>
      </c>
      <c r="AG35" s="45">
        <f>300*AD35+(AE35-AF35)*10+AE35</f>
        <v>0</v>
      </c>
      <c r="AH35" s="45">
        <f>IF(AG35&gt;0,AG35,0)</f>
        <v>0</v>
      </c>
      <c r="AJ35" s="45">
        <f>VLOOKUP(F35,R7:AC59,12,FALSE)+VLOOKUP(C35,R7:AC59,12,FALSE)</f>
        <v>2</v>
      </c>
      <c r="AK35" s="45" t="str">
        <f t="shared" si="0"/>
        <v>فرانسه</v>
      </c>
      <c r="AL35" s="45">
        <f t="shared" si="1"/>
        <v>0</v>
      </c>
      <c r="AM35" s="45" t="str">
        <f t="shared" si="2"/>
        <v>فرانسه</v>
      </c>
      <c r="AN35" s="45">
        <f t="shared" si="3"/>
        <v>0</v>
      </c>
      <c r="AO35" s="45" t="str">
        <f t="shared" si="4"/>
        <v>کره جنوبی</v>
      </c>
      <c r="AP35" s="45">
        <f t="shared" si="5"/>
        <v>0</v>
      </c>
      <c r="AQ35" s="45" t="str">
        <f t="shared" si="6"/>
        <v>کره جنوبی</v>
      </c>
      <c r="AR35" s="45">
        <f t="shared" si="7"/>
        <v>0</v>
      </c>
      <c r="AS35" s="45">
        <f t="shared" si="8"/>
      </c>
      <c r="AT35" s="45">
        <f t="shared" si="9"/>
      </c>
      <c r="AU35" s="45">
        <f t="shared" si="10"/>
      </c>
      <c r="AV35" s="45">
        <f t="shared" si="11"/>
      </c>
      <c r="AW35" s="45" t="str">
        <f t="shared" si="12"/>
        <v>فرانسه</v>
      </c>
      <c r="AX35" s="45">
        <f t="shared" si="13"/>
        <v>0</v>
      </c>
      <c r="AY35" s="45" t="str">
        <f t="shared" si="14"/>
        <v>فرانسه</v>
      </c>
      <c r="AZ35" s="45">
        <f t="shared" si="15"/>
        <v>0</v>
      </c>
      <c r="BA35" s="45" t="str">
        <f t="shared" si="16"/>
        <v>کره جنوبی</v>
      </c>
      <c r="BB35" s="45">
        <f t="shared" si="17"/>
        <v>0</v>
      </c>
      <c r="BC35" s="45" t="str">
        <f t="shared" si="18"/>
        <v>کره جنوبی</v>
      </c>
      <c r="BD35" s="45">
        <f t="shared" si="19"/>
        <v>0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 ht="13.5" customHeight="1" thickBot="1">
      <c r="A36" s="38" t="str">
        <f>CONCATENATE(19+IF(GMT&gt;10,1,0)," ",INDEX(T,80,language))</f>
        <v>19 ژوئن</v>
      </c>
      <c r="B36" s="39">
        <f>TIME(13+GMT,0,0)</f>
        <v>0.6666666666666666</v>
      </c>
      <c r="C36" s="34" t="str">
        <f>R52</f>
        <v>توگو</v>
      </c>
      <c r="D36" s="27"/>
      <c r="E36" s="27"/>
      <c r="F36" s="35" t="str">
        <f>R50</f>
        <v>سوئیس</v>
      </c>
      <c r="J36" s="10" t="str">
        <f>VLOOKUP(3,Q35:X38,2,FALSE)</f>
        <v>غنا</v>
      </c>
      <c r="K36" s="11">
        <f>VLOOKUP(3,Q35:X38,3,FALSE)</f>
        <v>0</v>
      </c>
      <c r="L36" s="11">
        <f>VLOOKUP(3,Q35:X38,4,FALSE)</f>
        <v>0</v>
      </c>
      <c r="M36" s="11">
        <f>VLOOKUP(3,Q35:X38,5,FALSE)</f>
        <v>0</v>
      </c>
      <c r="N36" s="11" t="str">
        <f>CONCATENATE(VLOOKUP(3,Q35:X38,6,FALSE)," - ",VLOOKUP(3,Q35:X38,7,FALSE))</f>
        <v>0 - 0</v>
      </c>
      <c r="O36" s="12">
        <f>VLOOKUP(3,Q35:X38,8,FALSE)</f>
        <v>0</v>
      </c>
      <c r="Q36" s="44">
        <f>IF(Y36&gt;Y35,1,0)+IF(Y36&gt;Y36,1,0)+IF(Y36&gt;Y37,1,0)+IF(Y36&gt;Y38,1,0)+1</f>
        <v>3</v>
      </c>
      <c r="R36" s="45" t="str">
        <f>INDEX(T,20,language)</f>
        <v>غنا</v>
      </c>
      <c r="S36" s="46">
        <f>COUNTIF(AS7:AT54,CONCATENATE(R36,"_win"))</f>
        <v>0</v>
      </c>
      <c r="T36" s="46">
        <f>COUNTIF(AS7:AT54,CONCATENATE(R36,"_draw"))</f>
        <v>0</v>
      </c>
      <c r="U36" s="46">
        <f>COUNTIF(AS7:AT54,CONCATENATE(R36,"_lose"))</f>
        <v>0</v>
      </c>
      <c r="V36" s="46">
        <f>SUMIF(AO7:AO54,CONCATENATE("=",R36),AP7:AP54)+SUMIF(AK7:AK54,CONCATENATE("=",R36),AL7:AL54)</f>
        <v>0</v>
      </c>
      <c r="W36" s="46">
        <f>SUMIF(AQ7:AQ54,CONCATENATE("=",R36),AR7:AR54)+SUMIF(AM7:AM54,CONCATENATE("=",R36),AN7:AN54)</f>
        <v>0</v>
      </c>
      <c r="X36" s="46">
        <f>S36*3+T36</f>
        <v>0</v>
      </c>
      <c r="Y36" s="46">
        <f>0.3+AH36+V36*1000+(V36-W36)*100000+X36*10000000</f>
        <v>0.3</v>
      </c>
      <c r="Z36" s="45">
        <f>IF(COUNTIF(X35:X38,CONCATENATE("=",X36))=1,0,COUNTIF(X35:X38,CONCATENATE("=",X36)))*X36</f>
        <v>0</v>
      </c>
      <c r="AA36" s="45" t="str">
        <f>IF(SUM(S35:U38)=12,J36,INDEX(T,57,language))</f>
        <v>دوم گروه E</v>
      </c>
      <c r="AC36" s="46">
        <f>IF(X36=AB35,1,0)</f>
        <v>1</v>
      </c>
      <c r="AD36" s="46">
        <f>COUNTIF(AU7:AV54,CONCATENATE(R36,"_win"))</f>
        <v>0</v>
      </c>
      <c r="AE36" s="46">
        <f>SUMIF(BA7:BA54,CONCATENATE("=",R36),BB7:BB54)+SUMIF(AW7:AW54,CONCATENATE("=",R36),AX7:AX54)</f>
        <v>0</v>
      </c>
      <c r="AF36" s="46">
        <f>SUMIF(BC7:BC54,CONCATENATE("=",R36),BD7:BD54)+SUMIF(AY7:AY54,CONCATENATE("=",R36),AZ7:AZ54)</f>
        <v>0</v>
      </c>
      <c r="AG36" s="45">
        <f>300*AD36+(AE36-AF36)*10+AE36</f>
        <v>0</v>
      </c>
      <c r="AH36" s="45">
        <f>IF(AG36&gt;0,AG36,0)</f>
        <v>0</v>
      </c>
      <c r="AJ36" s="45">
        <f>VLOOKUP(F36,R7:AC59,12,FALSE)+VLOOKUP(C36,R7:AC59,12,FALSE)</f>
        <v>2</v>
      </c>
      <c r="AK36" s="45" t="str">
        <f t="shared" si="0"/>
        <v>توگو</v>
      </c>
      <c r="AL36" s="45">
        <f t="shared" si="1"/>
        <v>0</v>
      </c>
      <c r="AM36" s="45" t="str">
        <f t="shared" si="2"/>
        <v>توگو</v>
      </c>
      <c r="AN36" s="45">
        <f t="shared" si="3"/>
        <v>0</v>
      </c>
      <c r="AO36" s="45" t="str">
        <f t="shared" si="4"/>
        <v>سوئیس</v>
      </c>
      <c r="AP36" s="45">
        <f t="shared" si="5"/>
        <v>0</v>
      </c>
      <c r="AQ36" s="45" t="str">
        <f t="shared" si="6"/>
        <v>سوئیس</v>
      </c>
      <c r="AR36" s="45">
        <f t="shared" si="7"/>
        <v>0</v>
      </c>
      <c r="AS36" s="45">
        <f t="shared" si="8"/>
      </c>
      <c r="AT36" s="45">
        <f t="shared" si="9"/>
      </c>
      <c r="AU36" s="45">
        <f t="shared" si="10"/>
      </c>
      <c r="AV36" s="45">
        <f t="shared" si="11"/>
      </c>
      <c r="AW36" s="45" t="str">
        <f t="shared" si="12"/>
        <v>توگو</v>
      </c>
      <c r="AX36" s="45">
        <f t="shared" si="13"/>
        <v>0</v>
      </c>
      <c r="AY36" s="45" t="str">
        <f t="shared" si="14"/>
        <v>توگو</v>
      </c>
      <c r="AZ36" s="45">
        <f t="shared" si="15"/>
        <v>0</v>
      </c>
      <c r="BA36" s="45" t="str">
        <f t="shared" si="16"/>
        <v>سوئیس</v>
      </c>
      <c r="BB36" s="45">
        <f t="shared" si="17"/>
        <v>0</v>
      </c>
      <c r="BC36" s="45" t="str">
        <f t="shared" si="18"/>
        <v>سوئیس</v>
      </c>
      <c r="BD36" s="45">
        <f t="shared" si="19"/>
        <v>0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 ht="13.5" customHeight="1" thickBot="1">
      <c r="A37" s="38" t="str">
        <f>CONCATENATE(19+IF(GMT&gt;7,1,0)," ",INDEX(T,80,language))</f>
        <v>19 ژوئن</v>
      </c>
      <c r="B37" s="39">
        <f>TIME(16+GMT,0,0)</f>
        <v>0.7916666666666666</v>
      </c>
      <c r="C37" s="34" t="str">
        <f>R59</f>
        <v>عربستان سعودی</v>
      </c>
      <c r="D37" s="27"/>
      <c r="E37" s="27"/>
      <c r="F37" s="35" t="str">
        <f>R57</f>
        <v>اوکراین</v>
      </c>
      <c r="J37" s="10" t="str">
        <f>VLOOKUP(2,Q35:X38,2,FALSE)</f>
        <v>آمریکا</v>
      </c>
      <c r="K37" s="11">
        <f>VLOOKUP(2,Q35:X38,3,FALSE)</f>
        <v>0</v>
      </c>
      <c r="L37" s="11">
        <f>VLOOKUP(2,Q35:X38,4,FALSE)</f>
        <v>0</v>
      </c>
      <c r="M37" s="11">
        <f>VLOOKUP(2,Q35:X38,5,FALSE)</f>
        <v>0</v>
      </c>
      <c r="N37" s="11" t="str">
        <f>CONCATENATE(VLOOKUP(2,Q35:X38,6,FALSE)," - ",VLOOKUP(2,Q35:X38,7,FALSE))</f>
        <v>0 - 0</v>
      </c>
      <c r="O37" s="12">
        <f>VLOOKUP(2,Q35:X38,8,FALSE)</f>
        <v>0</v>
      </c>
      <c r="Q37" s="44">
        <f>IF(Y37&gt;Y35,1,0)+IF(Y37&gt;Y36,1,0)+IF(Y37&gt;Y37,1,0)+IF(Y37&gt;Y38,1,0)+1</f>
        <v>2</v>
      </c>
      <c r="R37" s="45" t="str">
        <f>INDEX(T,21,language)</f>
        <v>آمریکا</v>
      </c>
      <c r="S37" s="46">
        <f>COUNTIF(AS7:AT54,CONCATENATE(R37,"_win"))</f>
        <v>0</v>
      </c>
      <c r="T37" s="46">
        <f>COUNTIF(AS7:AT54,CONCATENATE(R37,"_draw"))</f>
        <v>0</v>
      </c>
      <c r="U37" s="46">
        <f>COUNTIF(AS7:AT54,CONCATENATE(R37,"_lose"))</f>
        <v>0</v>
      </c>
      <c r="V37" s="46">
        <f>SUMIF(AO7:AO54,CONCATENATE("=",R37),AP7:AP54)+SUMIF(AK7:AK54,CONCATENATE("=",R37),AL7:AL54)</f>
        <v>0</v>
      </c>
      <c r="W37" s="46">
        <f>SUMIF(AQ7:AQ54,CONCATENATE("=",R37),AR7:AR54)+SUMIF(AM7:AM54,CONCATENATE("=",R37),AN7:AN54)</f>
        <v>0</v>
      </c>
      <c r="X37" s="46">
        <f>S37*3+T37</f>
        <v>0</v>
      </c>
      <c r="Y37" s="46">
        <f>0.2+AH37+V37*1000+(V37-W37)*100000+X37*10000000</f>
        <v>0.2</v>
      </c>
      <c r="Z37" s="45">
        <f>IF(COUNTIF(X35:X38,CONCATENATE("=",X37))=1,0,COUNTIF(X35:X38,CONCATENATE("=",X37)))*X37</f>
        <v>0</v>
      </c>
      <c r="AC37" s="46">
        <f>IF(X37=AB35,1,0)</f>
        <v>1</v>
      </c>
      <c r="AD37" s="46">
        <f>COUNTIF(AU7:AV54,CONCATENATE(R37,"_win"))</f>
        <v>0</v>
      </c>
      <c r="AE37" s="46">
        <f>SUMIF(BA7:BA54,CONCATENATE("=",R37),BB7:BB54)+SUMIF(AW7:AW54,CONCATENATE("=",R37),AX7:AX54)</f>
        <v>0</v>
      </c>
      <c r="AF37" s="46">
        <f>SUMIF(BC7:BC54,CONCATENATE("=",R37),BD7:BD54)+SUMIF(AY7:AY54,CONCATENATE("=",R37),AZ7:AZ54)</f>
        <v>0</v>
      </c>
      <c r="AG37" s="45">
        <f>300*AD37+(AE37-AF37)*10+AE37</f>
        <v>0</v>
      </c>
      <c r="AH37" s="45">
        <f>IF(AG37&gt;0,AG37,0)</f>
        <v>0</v>
      </c>
      <c r="AJ37" s="45">
        <f>VLOOKUP(F37,R7:AC59,12,FALSE)+VLOOKUP(C37,R7:AC59,12,FALSE)</f>
        <v>2</v>
      </c>
      <c r="AK37" s="45" t="str">
        <f t="shared" si="0"/>
        <v>عربستان سعودی</v>
      </c>
      <c r="AL37" s="45">
        <f t="shared" si="1"/>
        <v>0</v>
      </c>
      <c r="AM37" s="45" t="str">
        <f t="shared" si="2"/>
        <v>عربستان سعودی</v>
      </c>
      <c r="AN37" s="45">
        <f t="shared" si="3"/>
        <v>0</v>
      </c>
      <c r="AO37" s="45" t="str">
        <f t="shared" si="4"/>
        <v>اوکراین</v>
      </c>
      <c r="AP37" s="45">
        <f t="shared" si="5"/>
        <v>0</v>
      </c>
      <c r="AQ37" s="45" t="str">
        <f t="shared" si="6"/>
        <v>اوکراین</v>
      </c>
      <c r="AR37" s="45">
        <f t="shared" si="7"/>
        <v>0</v>
      </c>
      <c r="AS37" s="45">
        <f t="shared" si="8"/>
      </c>
      <c r="AT37" s="45">
        <f t="shared" si="9"/>
      </c>
      <c r="AU37" s="45">
        <f t="shared" si="10"/>
      </c>
      <c r="AV37" s="45">
        <f t="shared" si="11"/>
      </c>
      <c r="AW37" s="45" t="str">
        <f t="shared" si="12"/>
        <v>عربستان سعودی</v>
      </c>
      <c r="AX37" s="45">
        <f t="shared" si="13"/>
        <v>0</v>
      </c>
      <c r="AY37" s="45" t="str">
        <f t="shared" si="14"/>
        <v>عربستان سعودی</v>
      </c>
      <c r="AZ37" s="45">
        <f t="shared" si="15"/>
        <v>0</v>
      </c>
      <c r="BA37" s="45" t="str">
        <f t="shared" si="16"/>
        <v>اوکراین</v>
      </c>
      <c r="BB37" s="45">
        <f t="shared" si="17"/>
        <v>0</v>
      </c>
      <c r="BC37" s="45" t="str">
        <f t="shared" si="18"/>
        <v>اوکراین</v>
      </c>
      <c r="BD37" s="45">
        <f t="shared" si="19"/>
        <v>0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3.5" customHeight="1" thickBot="1">
      <c r="A38" s="38" t="str">
        <f>CONCATENATE(19+IF(GMT&gt;4,1,0)," ",INDEX(T,80,language))</f>
        <v>19 ژوئن</v>
      </c>
      <c r="B38" s="39">
        <f>TIME(19+GMT,0,0)</f>
        <v>0.9166666666666666</v>
      </c>
      <c r="C38" s="34" t="str">
        <f>R56</f>
        <v>اسپانیا</v>
      </c>
      <c r="D38" s="27"/>
      <c r="E38" s="27"/>
      <c r="F38" s="35" t="str">
        <f>R58</f>
        <v>تونس</v>
      </c>
      <c r="J38" s="13" t="str">
        <f>VLOOKUP(1,Q35:X38,2,FALSE)</f>
        <v>جمهوری چک</v>
      </c>
      <c r="K38" s="14">
        <f>VLOOKUP(1,Q35:X38,3,FALSE)</f>
        <v>0</v>
      </c>
      <c r="L38" s="14">
        <f>VLOOKUP(1,Q35:X38,4,FALSE)</f>
        <v>0</v>
      </c>
      <c r="M38" s="14">
        <f>VLOOKUP(1,Q35:X38,5,FALSE)</f>
        <v>0</v>
      </c>
      <c r="N38" s="14" t="str">
        <f>CONCATENATE(VLOOKUP(1,Q35:X38,6,FALSE)," - ",VLOOKUP(1,Q35:X38,7,FALSE))</f>
        <v>0 - 0</v>
      </c>
      <c r="O38" s="15">
        <f>VLOOKUP(1,Q35:X38,8,FALSE)</f>
        <v>0</v>
      </c>
      <c r="Q38" s="44">
        <f>IF(Y38&gt;Y35,1,0)+IF(Y38&gt;Y36,1,0)+IF(Y38&gt;Y37,1,0)+IF(Y38&gt;Y38,1,0)+1</f>
        <v>1</v>
      </c>
      <c r="R38" s="45" t="str">
        <f>INDEX(T,22,language)</f>
        <v>جمهوری چک</v>
      </c>
      <c r="S38" s="46">
        <f>COUNTIF(AS7:AT54,CONCATENATE(R38,"_win"))</f>
        <v>0</v>
      </c>
      <c r="T38" s="46">
        <f>COUNTIF(AS7:AT54,CONCATENATE(R38,"_draw"))</f>
        <v>0</v>
      </c>
      <c r="U38" s="46">
        <f>COUNTIF(AS7:AT54,CONCATENATE(R38,"_lose"))</f>
        <v>0</v>
      </c>
      <c r="V38" s="46">
        <f>SUMIF(AO7:AO54,CONCATENATE("=",R38),AP7:AP54)+SUMIF(AK7:AK54,CONCATENATE("=",R38),AL7:AL54)</f>
        <v>0</v>
      </c>
      <c r="W38" s="46">
        <f>SUMIF(AQ7:AQ54,CONCATENATE("=",R38),AR7:AR54)+SUMIF(AM7:AM54,CONCATENATE("=",R38),AN7:AN54)</f>
        <v>0</v>
      </c>
      <c r="X38" s="46">
        <f>S38*3+T38</f>
        <v>0</v>
      </c>
      <c r="Y38" s="46">
        <f>0.1+AH38+V38*1000+(V38-W38)*100000+X38*10000000</f>
        <v>0.1</v>
      </c>
      <c r="Z38" s="45">
        <f>IF(COUNTIF(X35:X38,CONCATENATE("=",X38))=1,0,COUNTIF(X35:X38,CONCATENATE("=",X38)))*X38</f>
        <v>0</v>
      </c>
      <c r="AC38" s="46">
        <f>IF(X38=AB35,1,0)</f>
        <v>1</v>
      </c>
      <c r="AD38" s="46">
        <f>COUNTIF(AU7:AV54,CONCATENATE(R38,"_win"))</f>
        <v>0</v>
      </c>
      <c r="AE38" s="46">
        <f>SUMIF(BA7:BA54,CONCATENATE("=",R38),BB7:BB54)+SUMIF(AW7:AW54,CONCATENATE("=",R38),AX7:AX54)</f>
        <v>0</v>
      </c>
      <c r="AF38" s="46">
        <f>SUMIF(BC7:BC54,CONCATENATE("=",R38),BD7:BD54)+SUMIF(AY7:AY54,CONCATENATE("=",R38),AZ7:AZ54)</f>
        <v>0</v>
      </c>
      <c r="AG38" s="45">
        <f>300*AD38+(AE38-AF38)*10+AE38</f>
        <v>0</v>
      </c>
      <c r="AH38" s="45">
        <f>IF(AG38&gt;0,AG38,0)</f>
        <v>0</v>
      </c>
      <c r="AJ38" s="45">
        <f>VLOOKUP(F38,R7:AC59,12,FALSE)+VLOOKUP(C38,R7:AC59,12,FALSE)</f>
        <v>2</v>
      </c>
      <c r="AK38" s="45" t="str">
        <f t="shared" si="0"/>
        <v>اسپانیا</v>
      </c>
      <c r="AL38" s="45">
        <f t="shared" si="1"/>
        <v>0</v>
      </c>
      <c r="AM38" s="45" t="str">
        <f t="shared" si="2"/>
        <v>اسپانیا</v>
      </c>
      <c r="AN38" s="45">
        <f t="shared" si="3"/>
        <v>0</v>
      </c>
      <c r="AO38" s="45" t="str">
        <f t="shared" si="4"/>
        <v>تونس</v>
      </c>
      <c r="AP38" s="45">
        <f t="shared" si="5"/>
        <v>0</v>
      </c>
      <c r="AQ38" s="45" t="str">
        <f t="shared" si="6"/>
        <v>تونس</v>
      </c>
      <c r="AR38" s="45">
        <f t="shared" si="7"/>
        <v>0</v>
      </c>
      <c r="AS38" s="45">
        <f t="shared" si="8"/>
      </c>
      <c r="AT38" s="45">
        <f t="shared" si="9"/>
      </c>
      <c r="AU38" s="45">
        <f t="shared" si="10"/>
      </c>
      <c r="AV38" s="45">
        <f t="shared" si="11"/>
      </c>
      <c r="AW38" s="45" t="str">
        <f t="shared" si="12"/>
        <v>اسپانیا</v>
      </c>
      <c r="AX38" s="45">
        <f t="shared" si="13"/>
        <v>0</v>
      </c>
      <c r="AY38" s="45" t="str">
        <f t="shared" si="14"/>
        <v>اسپانیا</v>
      </c>
      <c r="AZ38" s="45">
        <f t="shared" si="15"/>
        <v>0</v>
      </c>
      <c r="BA38" s="45" t="str">
        <f t="shared" si="16"/>
        <v>تونس</v>
      </c>
      <c r="BB38" s="45">
        <f t="shared" si="17"/>
        <v>0</v>
      </c>
      <c r="BC38" s="45" t="str">
        <f t="shared" si="18"/>
        <v>تونس</v>
      </c>
      <c r="BD38" s="45">
        <f t="shared" si="19"/>
        <v>0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customHeight="1" thickBot="1">
      <c r="A39" s="40" t="str">
        <f>CONCATENATE(20+IF(GMT&gt;9,1,0)," ",INDEX(T,80,language))</f>
        <v>20 ژوئن</v>
      </c>
      <c r="B39" s="41">
        <f>TIME(14+GMT,0,0)</f>
        <v>0.7083333333333334</v>
      </c>
      <c r="C39" s="33" t="str">
        <f>R10</f>
        <v>اکوادور</v>
      </c>
      <c r="D39" s="27"/>
      <c r="E39" s="27"/>
      <c r="F39" s="35" t="str">
        <f>R7</f>
        <v>آلمان</v>
      </c>
      <c r="Z39" s="45">
        <f>MAX(Z35:Z38)</f>
        <v>0</v>
      </c>
      <c r="AJ39" s="45">
        <f>VLOOKUP(F39,R7:AC59,12,FALSE)+VLOOKUP(C39,R7:AC59,12,FALSE)</f>
        <v>2</v>
      </c>
      <c r="AK39" s="45" t="str">
        <f t="shared" si="0"/>
        <v>اکوادور</v>
      </c>
      <c r="AL39" s="45">
        <f t="shared" si="1"/>
        <v>0</v>
      </c>
      <c r="AM39" s="45" t="str">
        <f t="shared" si="2"/>
        <v>اکوادور</v>
      </c>
      <c r="AN39" s="45">
        <f t="shared" si="3"/>
        <v>0</v>
      </c>
      <c r="AO39" s="45" t="str">
        <f t="shared" si="4"/>
        <v>آلمان</v>
      </c>
      <c r="AP39" s="45">
        <f t="shared" si="5"/>
        <v>0</v>
      </c>
      <c r="AQ39" s="45" t="str">
        <f t="shared" si="6"/>
        <v>آلمان</v>
      </c>
      <c r="AR39" s="45">
        <f t="shared" si="7"/>
        <v>0</v>
      </c>
      <c r="AS39" s="45">
        <f t="shared" si="8"/>
      </c>
      <c r="AT39" s="45">
        <f t="shared" si="9"/>
      </c>
      <c r="AU39" s="45">
        <f t="shared" si="10"/>
      </c>
      <c r="AV39" s="45">
        <f t="shared" si="11"/>
      </c>
      <c r="AW39" s="45" t="str">
        <f t="shared" si="12"/>
        <v>اکوادور</v>
      </c>
      <c r="AX39" s="45">
        <f t="shared" si="13"/>
        <v>0</v>
      </c>
      <c r="AY39" s="45" t="str">
        <f t="shared" si="14"/>
        <v>اکوادور</v>
      </c>
      <c r="AZ39" s="45">
        <f t="shared" si="15"/>
        <v>0</v>
      </c>
      <c r="BA39" s="45" t="str">
        <f t="shared" si="16"/>
        <v>آلمان</v>
      </c>
      <c r="BB39" s="45">
        <f t="shared" si="17"/>
        <v>0</v>
      </c>
      <c r="BC39" s="45" t="str">
        <f t="shared" si="18"/>
        <v>آلمان</v>
      </c>
      <c r="BD39" s="45">
        <f t="shared" si="19"/>
        <v>0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ht="13.5" customHeight="1" thickBot="1">
      <c r="A40" s="38" t="str">
        <f>CONCATENATE(20+IF(GMT&gt;9,1,0)," ",INDEX(T,80,language))</f>
        <v>20 ژوئن</v>
      </c>
      <c r="B40" s="39">
        <f>TIME(14+GMT,0,0)</f>
        <v>0.7083333333333334</v>
      </c>
      <c r="C40" s="34" t="str">
        <f>R8</f>
        <v>كاستاريكا</v>
      </c>
      <c r="D40" s="27"/>
      <c r="E40" s="27"/>
      <c r="F40" s="35" t="str">
        <f>R9</f>
        <v>لهستان</v>
      </c>
      <c r="J40" s="64" t="str">
        <f>CONCATENATE(INDEX(T,40,language)," F")</f>
        <v>گروه F</v>
      </c>
      <c r="K40" s="66" t="str">
        <f>INDEX(T,35,language)</f>
        <v>برد</v>
      </c>
      <c r="L40" s="66" t="str">
        <f>INDEX(T,36,language)</f>
        <v>تساوی</v>
      </c>
      <c r="M40" s="66" t="str">
        <f>INDEX(T,37,language)</f>
        <v>باخت</v>
      </c>
      <c r="N40" s="66" t="str">
        <f>INDEX(T,38,language)</f>
        <v>خورده – زده</v>
      </c>
      <c r="O40" s="74" t="str">
        <f>INDEX(T,39,language)</f>
        <v>امتیاز</v>
      </c>
      <c r="AJ40" s="45">
        <f>VLOOKUP(F40,R7:AC59,12,FALSE)+VLOOKUP(C40,R7:AC59,12,FALSE)</f>
        <v>0</v>
      </c>
      <c r="AK40" s="45" t="str">
        <f t="shared" si="0"/>
        <v>كاستاريكا</v>
      </c>
      <c r="AL40" s="45">
        <f t="shared" si="1"/>
        <v>0</v>
      </c>
      <c r="AM40" s="45" t="str">
        <f t="shared" si="2"/>
        <v>كاستاريكا</v>
      </c>
      <c r="AN40" s="45">
        <f t="shared" si="3"/>
        <v>0</v>
      </c>
      <c r="AO40" s="45" t="str">
        <f t="shared" si="4"/>
        <v>لهستان</v>
      </c>
      <c r="AP40" s="45">
        <f t="shared" si="5"/>
        <v>0</v>
      </c>
      <c r="AQ40" s="45" t="str">
        <f t="shared" si="6"/>
        <v>لهستان</v>
      </c>
      <c r="AR40" s="45">
        <f t="shared" si="7"/>
        <v>0</v>
      </c>
      <c r="AS40" s="45">
        <f t="shared" si="8"/>
      </c>
      <c r="AT40" s="45">
        <f t="shared" si="9"/>
      </c>
      <c r="AU40" s="45">
        <f t="shared" si="10"/>
      </c>
      <c r="AV40" s="45">
        <f t="shared" si="11"/>
      </c>
      <c r="AW40" s="45">
        <f t="shared" si="12"/>
      </c>
      <c r="AX40" s="45">
        <f t="shared" si="13"/>
      </c>
      <c r="AY40" s="45">
        <f t="shared" si="14"/>
      </c>
      <c r="AZ40" s="45">
        <f t="shared" si="15"/>
      </c>
      <c r="BA40" s="45">
        <f t="shared" si="16"/>
      </c>
      <c r="BB40" s="45">
        <f t="shared" si="17"/>
      </c>
      <c r="BC40" s="45">
        <f t="shared" si="18"/>
      </c>
      <c r="BD40" s="45">
        <f t="shared" si="19"/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3.5" customHeight="1" thickBot="1">
      <c r="A41" s="38" t="str">
        <f>CONCATENATE(20+IF(GMT&gt;4,1,0)," ",INDEX(T,80,language))</f>
        <v>20 ژوئن</v>
      </c>
      <c r="B41" s="39">
        <f>TIME(19+GMT,0,0)</f>
        <v>0.9166666666666666</v>
      </c>
      <c r="C41" s="34" t="str">
        <f>R15</f>
        <v>پاراگوئه</v>
      </c>
      <c r="D41" s="27"/>
      <c r="E41" s="27"/>
      <c r="F41" s="35" t="str">
        <f>R16</f>
        <v>ترینیداد و توباگو</v>
      </c>
      <c r="J41" s="65"/>
      <c r="K41" s="67"/>
      <c r="L41" s="67"/>
      <c r="M41" s="67"/>
      <c r="N41" s="67"/>
      <c r="O41" s="75"/>
      <c r="AJ41" s="45">
        <f>VLOOKUP(F41,R7:AC59,12,FALSE)+VLOOKUP(C41,R7:AC59,12,FALSE)</f>
        <v>1</v>
      </c>
      <c r="AK41" s="45" t="str">
        <f t="shared" si="0"/>
        <v>پاراگوئه</v>
      </c>
      <c r="AL41" s="45">
        <f t="shared" si="1"/>
        <v>0</v>
      </c>
      <c r="AM41" s="45" t="str">
        <f t="shared" si="2"/>
        <v>پاراگوئه</v>
      </c>
      <c r="AN41" s="45">
        <f t="shared" si="3"/>
        <v>0</v>
      </c>
      <c r="AO41" s="45" t="str">
        <f t="shared" si="4"/>
        <v>ترینیداد و توباگو</v>
      </c>
      <c r="AP41" s="45">
        <f t="shared" si="5"/>
        <v>0</v>
      </c>
      <c r="AQ41" s="45" t="str">
        <f t="shared" si="6"/>
        <v>ترینیداد و توباگو</v>
      </c>
      <c r="AR41" s="45">
        <f t="shared" si="7"/>
        <v>0</v>
      </c>
      <c r="AS41" s="45">
        <f t="shared" si="8"/>
      </c>
      <c r="AT41" s="45">
        <f t="shared" si="9"/>
      </c>
      <c r="AU41" s="45">
        <f t="shared" si="10"/>
      </c>
      <c r="AV41" s="45">
        <f t="shared" si="11"/>
      </c>
      <c r="AW41" s="45">
        <f t="shared" si="12"/>
      </c>
      <c r="AX41" s="45">
        <f t="shared" si="13"/>
      </c>
      <c r="AY41" s="45">
        <f t="shared" si="14"/>
      </c>
      <c r="AZ41" s="45">
        <f t="shared" si="15"/>
      </c>
      <c r="BA41" s="45">
        <f t="shared" si="16"/>
      </c>
      <c r="BB41" s="45">
        <f t="shared" si="17"/>
      </c>
      <c r="BC41" s="45">
        <f t="shared" si="18"/>
      </c>
      <c r="BD41" s="45">
        <f t="shared" si="19"/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13.5" customHeight="1" thickBot="1">
      <c r="A42" s="38" t="str">
        <f>CONCATENATE(20+IF(GMT&gt;4,1,0)," ",INDEX(T,80,language))</f>
        <v>20 ژوئن</v>
      </c>
      <c r="B42" s="39">
        <f>TIME(19+GMT,0,0)</f>
        <v>0.9166666666666666</v>
      </c>
      <c r="C42" s="34" t="str">
        <f>R17</f>
        <v>سوئد</v>
      </c>
      <c r="D42" s="27"/>
      <c r="E42" s="27"/>
      <c r="F42" s="35" t="str">
        <f>R14</f>
        <v>انگلستان</v>
      </c>
      <c r="J42" s="6" t="str">
        <f>VLOOKUP(4,Q42:X45,2,FALSE)</f>
        <v>برزیل</v>
      </c>
      <c r="K42" s="7">
        <f>VLOOKUP(4,Q42:X45,3,FALSE)</f>
        <v>0</v>
      </c>
      <c r="L42" s="7">
        <f>VLOOKUP(4,Q42:X45,4,FALSE)</f>
        <v>0</v>
      </c>
      <c r="M42" s="7">
        <f>VLOOKUP(4,Q42:X45,5,FALSE)</f>
        <v>0</v>
      </c>
      <c r="N42" s="7" t="str">
        <f>CONCATENATE(VLOOKUP(4,Q42:X45,6,FALSE)," - ",VLOOKUP(4,Q42:X45,7,FALSE))</f>
        <v>0 - 0</v>
      </c>
      <c r="O42" s="8">
        <f>VLOOKUP(4,Q42:X45,8,FALSE)</f>
        <v>0</v>
      </c>
      <c r="Q42" s="44">
        <f>IF(Y42&gt;Y42,1,0)+IF(Y42&gt;Y43,1,0)+IF(Y42&gt;Y44,1,0)+IF(Y42&gt;Y45,1,0)+1</f>
        <v>4</v>
      </c>
      <c r="R42" s="45" t="str">
        <f>INDEX(T,23,language)</f>
        <v>برزیل</v>
      </c>
      <c r="S42" s="46">
        <f>COUNTIF(AS7:AT54,CONCATENATE(R42,"_win"))</f>
        <v>0</v>
      </c>
      <c r="T42" s="46">
        <f>COUNTIF(AS7:AT54,CONCATENATE(R42,"_draw"))</f>
        <v>0</v>
      </c>
      <c r="U42" s="46">
        <f>COUNTIF(AS7:AT54,CONCATENATE(R42,"_lose"))</f>
        <v>0</v>
      </c>
      <c r="V42" s="46">
        <f>SUMIF(AO7:AO54,CONCATENATE("=",R42),AP7:AP54)+SUMIF(AK7:AK54,CONCATENATE("=",R42),AL7:AL54)</f>
        <v>0</v>
      </c>
      <c r="W42" s="46">
        <f>SUMIF(AQ7:AQ54,CONCATENATE("=",R42),AR7:AR54)+SUMIF(AM7:AM54,CONCATENATE("=",R42),AN7:AN54)</f>
        <v>0</v>
      </c>
      <c r="X42" s="46">
        <f>S42*3+T42</f>
        <v>0</v>
      </c>
      <c r="Y42" s="46">
        <f>0.4+AH42+V42*1000+(V42-W42)*100000+X42*10000000</f>
        <v>0.4</v>
      </c>
      <c r="Z42" s="45">
        <f>IF(COUNTIF(X42:X45,CONCATENATE("=",X42))=1,0,COUNTIF(X42:X45,CONCATENATE("=",X42)))*X42</f>
        <v>0</v>
      </c>
      <c r="AA42" s="45" t="str">
        <f>IF(SUM(S42:U45)=12,J42,INDEX(T,58,language))</f>
        <v>برنده گروه F</v>
      </c>
      <c r="AB42" s="46">
        <f>IF(Z42=Z46,X42,IF(Z43=Z46,X43,IF(Z44=Z46,X44,X45)))</f>
        <v>0</v>
      </c>
      <c r="AC42" s="46">
        <f>IF(X42=AB42,1,0)</f>
        <v>1</v>
      </c>
      <c r="AD42" s="46">
        <f>COUNTIF(AU7:AV54,CONCATENATE(R42,"_win"))</f>
        <v>0</v>
      </c>
      <c r="AE42" s="46">
        <f>SUMIF(BA7:BA54,CONCATENATE("=",R42),BB7:BB54)+SUMIF(AW7:AW54,CONCATENATE("=",R42),AX7:AX54)</f>
        <v>0</v>
      </c>
      <c r="AF42" s="46">
        <f>SUMIF(BC7:BC54,CONCATENATE("=",R42),BD7:BD54)+SUMIF(AY7:AY54,CONCATENATE("=",R42),AZ7:AZ54)</f>
        <v>0</v>
      </c>
      <c r="AG42" s="45">
        <f>300*AD42+(AE42-AF42)*10+AE42</f>
        <v>0</v>
      </c>
      <c r="AH42" s="45">
        <f>IF(AG42&gt;0,AG42,0)</f>
        <v>0</v>
      </c>
      <c r="AJ42" s="45">
        <f>VLOOKUP(F42,R7:AC59,12,FALSE)+VLOOKUP(C42,R7:AC59,12,FALSE)</f>
        <v>1</v>
      </c>
      <c r="AK42" s="45" t="str">
        <f t="shared" si="0"/>
        <v>سوئد</v>
      </c>
      <c r="AL42" s="45">
        <f t="shared" si="1"/>
        <v>0</v>
      </c>
      <c r="AM42" s="45" t="str">
        <f t="shared" si="2"/>
        <v>سوئد</v>
      </c>
      <c r="AN42" s="45">
        <f t="shared" si="3"/>
        <v>0</v>
      </c>
      <c r="AO42" s="45" t="str">
        <f t="shared" si="4"/>
        <v>انگلستان</v>
      </c>
      <c r="AP42" s="45">
        <f t="shared" si="5"/>
        <v>0</v>
      </c>
      <c r="AQ42" s="45" t="str">
        <f t="shared" si="6"/>
        <v>انگلستان</v>
      </c>
      <c r="AR42" s="45">
        <f t="shared" si="7"/>
        <v>0</v>
      </c>
      <c r="AS42" s="45">
        <f t="shared" si="8"/>
      </c>
      <c r="AT42" s="45">
        <f t="shared" si="9"/>
      </c>
      <c r="AU42" s="45">
        <f t="shared" si="10"/>
      </c>
      <c r="AV42" s="45">
        <f t="shared" si="11"/>
      </c>
      <c r="AW42" s="45">
        <f t="shared" si="12"/>
      </c>
      <c r="AX42" s="45">
        <f t="shared" si="13"/>
      </c>
      <c r="AY42" s="45">
        <f t="shared" si="14"/>
      </c>
      <c r="AZ42" s="45">
        <f t="shared" si="15"/>
      </c>
      <c r="BA42" s="45">
        <f t="shared" si="16"/>
      </c>
      <c r="BB42" s="45">
        <f t="shared" si="17"/>
      </c>
      <c r="BC42" s="45">
        <f t="shared" si="18"/>
      </c>
      <c r="BD42" s="45">
        <f t="shared" si="19"/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13.5" customHeight="1" thickBot="1">
      <c r="A43" s="38" t="str">
        <f>CONCATENATE(21+IF(GMT&gt;9,1,0)," ",INDEX(T,80,language))</f>
        <v>21 ژوئن</v>
      </c>
      <c r="B43" s="39">
        <f>TIME(14+GMT,0,0)</f>
        <v>0.7083333333333334</v>
      </c>
      <c r="C43" s="34" t="str">
        <f>R29</f>
        <v>ایران</v>
      </c>
      <c r="D43" s="27"/>
      <c r="E43" s="27"/>
      <c r="F43" s="35" t="str">
        <f>R30</f>
        <v>آنگولا</v>
      </c>
      <c r="J43" s="10" t="str">
        <f>VLOOKUP(3,Q42:X45,2,FALSE)</f>
        <v>کرواسی</v>
      </c>
      <c r="K43" s="11">
        <f>VLOOKUP(3,Q42:X45,3,FALSE)</f>
        <v>0</v>
      </c>
      <c r="L43" s="11">
        <f>VLOOKUP(3,Q42:X45,4,FALSE)</f>
        <v>0</v>
      </c>
      <c r="M43" s="11">
        <f>VLOOKUP(3,Q42:X45,5,FALSE)</f>
        <v>0</v>
      </c>
      <c r="N43" s="11" t="str">
        <f>CONCATENATE(VLOOKUP(3,Q42:X45,6,FALSE)," - ",VLOOKUP(3,Q42:X45,7,FALSE))</f>
        <v>0 - 0</v>
      </c>
      <c r="O43" s="12">
        <f>VLOOKUP(3,Q42:X45,8,FALSE)</f>
        <v>0</v>
      </c>
      <c r="Q43" s="44">
        <f>IF(Y43&gt;Y42,1,0)+IF(Y43&gt;Y43,1,0)+IF(Y43&gt;Y44,1,0)+IF(Y43&gt;Y45,1,0)+1</f>
        <v>3</v>
      </c>
      <c r="R43" s="45" t="str">
        <f>INDEX(T,24,language)</f>
        <v>کرواسی</v>
      </c>
      <c r="S43" s="46">
        <f>COUNTIF(AS7:AT54,CONCATENATE(R43,"_win"))</f>
        <v>0</v>
      </c>
      <c r="T43" s="46">
        <f>COUNTIF(AS7:AT54,CONCATENATE(R43,"_draw"))</f>
        <v>0</v>
      </c>
      <c r="U43" s="46">
        <f>COUNTIF(AS7:AT54,CONCATENATE(R43,"_lose"))</f>
        <v>0</v>
      </c>
      <c r="V43" s="46">
        <f>SUMIF(AO7:AO54,CONCATENATE("=",R43),AP7:AP54)+SUMIF(AK7:AK54,CONCATENATE("=",R43),AL7:AL54)</f>
        <v>0</v>
      </c>
      <c r="W43" s="46">
        <f>SUMIF(AQ7:AQ54,CONCATENATE("=",R43),AR7:AR54)+SUMIF(AM7:AM54,CONCATENATE("=",R43),AN7:AN54)</f>
        <v>0</v>
      </c>
      <c r="X43" s="46">
        <f>S43*3+T43</f>
        <v>0</v>
      </c>
      <c r="Y43" s="46">
        <f>0.3+AH43+V43*1000+(V43-W43)*100000+X43*10000000</f>
        <v>0.3</v>
      </c>
      <c r="Z43" s="45">
        <f>IF(COUNTIF(X42:X45,CONCATENATE("=",X43))=1,0,COUNTIF(X42:X45,CONCATENATE("=",X43)))*X43</f>
        <v>0</v>
      </c>
      <c r="AA43" s="45" t="str">
        <f>IF(SUM(S42:U45)=12,J43,INDEX(T,59,language))</f>
        <v>دوم گروه F</v>
      </c>
      <c r="AC43" s="46">
        <f>IF(X43=AB42,1,0)</f>
        <v>1</v>
      </c>
      <c r="AD43" s="46">
        <f>COUNTIF(AU7:AV54,CONCATENATE(R43,"_win"))</f>
        <v>0</v>
      </c>
      <c r="AE43" s="46">
        <f>SUMIF(BA7:BA54,CONCATENATE("=",R43),BB7:BB54)+SUMIF(AW7:AW54,CONCATENATE("=",R43),AX7:AX54)</f>
        <v>0</v>
      </c>
      <c r="AF43" s="46">
        <f>SUMIF(BC7:BC54,CONCATENATE("=",R43),BD7:BD54)+SUMIF(AY7:AY54,CONCATENATE("=",R43),AZ7:AZ54)</f>
        <v>0</v>
      </c>
      <c r="AG43" s="45">
        <f>300*AD43+(AE43-AF43)*10+AE43</f>
        <v>0</v>
      </c>
      <c r="AH43" s="45">
        <f>IF(AG43&gt;0,AG43,0)</f>
        <v>0</v>
      </c>
      <c r="AJ43" s="45">
        <f>VLOOKUP(F43,R7:AC59,12,FALSE)+VLOOKUP(C43,R7:AC59,12,FALSE)</f>
        <v>2</v>
      </c>
      <c r="AK43" s="45" t="str">
        <f t="shared" si="0"/>
        <v>ایران</v>
      </c>
      <c r="AL43" s="45">
        <f t="shared" si="1"/>
        <v>0</v>
      </c>
      <c r="AM43" s="45" t="str">
        <f t="shared" si="2"/>
        <v>ایران</v>
      </c>
      <c r="AN43" s="45">
        <f t="shared" si="3"/>
        <v>0</v>
      </c>
      <c r="AO43" s="45" t="str">
        <f t="shared" si="4"/>
        <v>آنگولا</v>
      </c>
      <c r="AP43" s="45">
        <f t="shared" si="5"/>
        <v>0</v>
      </c>
      <c r="AQ43" s="45" t="str">
        <f t="shared" si="6"/>
        <v>آنگولا</v>
      </c>
      <c r="AR43" s="45">
        <f t="shared" si="7"/>
        <v>0</v>
      </c>
      <c r="AS43" s="45">
        <f t="shared" si="8"/>
      </c>
      <c r="AT43" s="45">
        <f t="shared" si="9"/>
      </c>
      <c r="AU43" s="45">
        <f t="shared" si="10"/>
      </c>
      <c r="AV43" s="45">
        <f t="shared" si="11"/>
      </c>
      <c r="AW43" s="45" t="str">
        <f t="shared" si="12"/>
        <v>ایران</v>
      </c>
      <c r="AX43" s="45">
        <f t="shared" si="13"/>
        <v>0</v>
      </c>
      <c r="AY43" s="45" t="str">
        <f t="shared" si="14"/>
        <v>ایران</v>
      </c>
      <c r="AZ43" s="45">
        <f t="shared" si="15"/>
        <v>0</v>
      </c>
      <c r="BA43" s="45" t="str">
        <f t="shared" si="16"/>
        <v>آنگولا</v>
      </c>
      <c r="BB43" s="45">
        <f t="shared" si="17"/>
        <v>0</v>
      </c>
      <c r="BC43" s="45" t="str">
        <f t="shared" si="18"/>
        <v>آنگولا</v>
      </c>
      <c r="BD43" s="45">
        <f t="shared" si="19"/>
        <v>0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13.5" customHeight="1" thickBot="1">
      <c r="A44" s="38" t="str">
        <f>CONCATENATE(21+IF(GMT&gt;9,1,0)," ",INDEX(T,80,language))</f>
        <v>21 ژوئن</v>
      </c>
      <c r="B44" s="39">
        <f>TIME(14+GMT,0,0)</f>
        <v>0.7083333333333334</v>
      </c>
      <c r="C44" s="34" t="str">
        <f>R31</f>
        <v>پرتقال</v>
      </c>
      <c r="D44" s="27"/>
      <c r="E44" s="27"/>
      <c r="F44" s="35" t="str">
        <f>R28</f>
        <v>مکزیک</v>
      </c>
      <c r="J44" s="10" t="str">
        <f>VLOOKUP(2,Q42:X45,2,FALSE)</f>
        <v>استرالیا</v>
      </c>
      <c r="K44" s="11">
        <f>VLOOKUP(2,Q42:X45,3,FALSE)</f>
        <v>0</v>
      </c>
      <c r="L44" s="11">
        <f>VLOOKUP(2,Q42:X45,4,FALSE)</f>
        <v>0</v>
      </c>
      <c r="M44" s="11">
        <f>VLOOKUP(2,Q42:X45,5,FALSE)</f>
        <v>0</v>
      </c>
      <c r="N44" s="11" t="str">
        <f>CONCATENATE(VLOOKUP(2,Q42:X45,6,FALSE)," - ",VLOOKUP(2,Q42:X45,7,FALSE))</f>
        <v>0 - 0</v>
      </c>
      <c r="O44" s="12">
        <f>VLOOKUP(2,Q42:X45,8,FALSE)</f>
        <v>0</v>
      </c>
      <c r="Q44" s="44">
        <f>IF(Y44&gt;Y42,1,0)+IF(Y44&gt;Y43,1,0)+IF(Y44&gt;Y44,1,0)+IF(Y44&gt;Y45,1,0)+1</f>
        <v>2</v>
      </c>
      <c r="R44" s="45" t="str">
        <f>INDEX(T,25,language)</f>
        <v>استرالیا</v>
      </c>
      <c r="S44" s="46">
        <f>COUNTIF(AS7:AT54,CONCATENATE(R44,"_win"))</f>
        <v>0</v>
      </c>
      <c r="T44" s="46">
        <f>COUNTIF(AS7:AT54,CONCATENATE(R44,"_draw"))</f>
        <v>0</v>
      </c>
      <c r="U44" s="46">
        <f>COUNTIF(AS7:AT54,CONCATENATE(R44,"_lose"))</f>
        <v>0</v>
      </c>
      <c r="V44" s="46">
        <f>SUMIF(AO7:AO54,CONCATENATE("=",R44),AP7:AP54)+SUMIF(AK7:AK54,CONCATENATE("=",R44),AL7:AL54)</f>
        <v>0</v>
      </c>
      <c r="W44" s="46">
        <f>SUMIF(AQ7:AQ54,CONCATENATE("=",R44),AR7:AR54)+SUMIF(AM7:AM54,CONCATENATE("=",R44),AN7:AN54)</f>
        <v>0</v>
      </c>
      <c r="X44" s="46">
        <f>S44*3+T44</f>
        <v>0</v>
      </c>
      <c r="Y44" s="46">
        <f>0.2+AH44+V44*1000+(V44-W44)*100000+X44*10000000</f>
        <v>0.2</v>
      </c>
      <c r="Z44" s="45">
        <f>IF(COUNTIF(X42:X45,CONCATENATE("=",X44))=1,0,COUNTIF(X42:X45,CONCATENATE("=",X44)))*X44</f>
        <v>0</v>
      </c>
      <c r="AC44" s="46">
        <f>IF(X44=AB42,1,0)</f>
        <v>1</v>
      </c>
      <c r="AD44" s="46">
        <f>COUNTIF(AU7:AV54,CONCATENATE(R44,"_win"))</f>
        <v>0</v>
      </c>
      <c r="AE44" s="46">
        <f>SUMIF(BA7:BA54,CONCATENATE("=",R44),BB7:BB54)+SUMIF(AW7:AW54,CONCATENATE("=",R44),AX7:AX54)</f>
        <v>0</v>
      </c>
      <c r="AF44" s="46">
        <f>SUMIF(BC7:BC54,CONCATENATE("=",R44),BD7:BD54)+SUMIF(AY7:AY54,CONCATENATE("=",R44),AZ7:AZ54)</f>
        <v>0</v>
      </c>
      <c r="AG44" s="45">
        <f>300*AD44+(AE44-AF44)*10+AE44</f>
        <v>0</v>
      </c>
      <c r="AH44" s="45">
        <f>IF(AG44&gt;0,AG44,0)</f>
        <v>0</v>
      </c>
      <c r="AJ44" s="45">
        <f>VLOOKUP(F44,R7:AC59,12,FALSE)+VLOOKUP(C44,R7:AC59,12,FALSE)</f>
        <v>2</v>
      </c>
      <c r="AK44" s="45" t="str">
        <f t="shared" si="0"/>
        <v>پرتقال</v>
      </c>
      <c r="AL44" s="45">
        <f t="shared" si="1"/>
        <v>0</v>
      </c>
      <c r="AM44" s="45" t="str">
        <f t="shared" si="2"/>
        <v>پرتقال</v>
      </c>
      <c r="AN44" s="45">
        <f t="shared" si="3"/>
        <v>0</v>
      </c>
      <c r="AO44" s="45" t="str">
        <f t="shared" si="4"/>
        <v>مکزیک</v>
      </c>
      <c r="AP44" s="45">
        <f t="shared" si="5"/>
        <v>0</v>
      </c>
      <c r="AQ44" s="45" t="str">
        <f t="shared" si="6"/>
        <v>مکزیک</v>
      </c>
      <c r="AR44" s="45">
        <f t="shared" si="7"/>
        <v>0</v>
      </c>
      <c r="AS44" s="45">
        <f t="shared" si="8"/>
      </c>
      <c r="AT44" s="45">
        <f t="shared" si="9"/>
      </c>
      <c r="AU44" s="45">
        <f t="shared" si="10"/>
      </c>
      <c r="AV44" s="45">
        <f t="shared" si="11"/>
      </c>
      <c r="AW44" s="45" t="str">
        <f t="shared" si="12"/>
        <v>پرتقال</v>
      </c>
      <c r="AX44" s="45">
        <f t="shared" si="13"/>
        <v>0</v>
      </c>
      <c r="AY44" s="45" t="str">
        <f t="shared" si="14"/>
        <v>پرتقال</v>
      </c>
      <c r="AZ44" s="45">
        <f t="shared" si="15"/>
        <v>0</v>
      </c>
      <c r="BA44" s="45" t="str">
        <f t="shared" si="16"/>
        <v>مکزیک</v>
      </c>
      <c r="BB44" s="45">
        <f t="shared" si="17"/>
        <v>0</v>
      </c>
      <c r="BC44" s="45" t="str">
        <f t="shared" si="18"/>
        <v>مکزیک</v>
      </c>
      <c r="BD44" s="45">
        <f t="shared" si="19"/>
        <v>0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13.5" customHeight="1" thickBot="1">
      <c r="A45" s="38" t="str">
        <f>CONCATENATE(21+IF(GMT&gt;4,1,0)," ",INDEX(T,80,language))</f>
        <v>21 ژوئن</v>
      </c>
      <c r="B45" s="39">
        <f>TIME(19+GMT,0,0)</f>
        <v>0.9166666666666666</v>
      </c>
      <c r="C45" s="34" t="str">
        <f>R22</f>
        <v>ساحل عاج</v>
      </c>
      <c r="D45" s="27"/>
      <c r="E45" s="27"/>
      <c r="F45" s="35" t="str">
        <f>R23</f>
        <v>صربستان و مونته نگرو</v>
      </c>
      <c r="J45" s="13" t="str">
        <f>VLOOKUP(1,Q42:X45,2,FALSE)</f>
        <v>ژاپن</v>
      </c>
      <c r="K45" s="14">
        <f>VLOOKUP(1,Q42:X45,3,FALSE)</f>
        <v>0</v>
      </c>
      <c r="L45" s="14">
        <f>VLOOKUP(1,Q42:X45,4,FALSE)</f>
        <v>0</v>
      </c>
      <c r="M45" s="14">
        <f>VLOOKUP(1,Q42:X45,5,FALSE)</f>
        <v>0</v>
      </c>
      <c r="N45" s="14" t="str">
        <f>CONCATENATE(VLOOKUP(1,Q42:X45,6,FALSE)," - ",VLOOKUP(1,Q42:X45,7,FALSE))</f>
        <v>0 - 0</v>
      </c>
      <c r="O45" s="15">
        <f>VLOOKUP(1,Q42:X45,8,FALSE)</f>
        <v>0</v>
      </c>
      <c r="Q45" s="44">
        <f>IF(Y45&gt;Y42,1,0)+IF(Y45&gt;Y43,1,0)+IF(Y45&gt;Y44,1,0)+IF(Y45&gt;Y45,1,0)+1</f>
        <v>1</v>
      </c>
      <c r="R45" s="45" t="str">
        <f>INDEX(T,26,language)</f>
        <v>ژاپن</v>
      </c>
      <c r="S45" s="46">
        <f>COUNTIF(AS7:AT54,CONCATENATE(R45,"_win"))</f>
        <v>0</v>
      </c>
      <c r="T45" s="46">
        <f>COUNTIF(AS7:AT54,CONCATENATE(R45,"_draw"))</f>
        <v>0</v>
      </c>
      <c r="U45" s="46">
        <f>COUNTIF(AS7:AT54,CONCATENATE(R45,"_lose"))</f>
        <v>0</v>
      </c>
      <c r="V45" s="46">
        <f>SUMIF(AO7:AO54,CONCATENATE("=",R45),AP7:AP54)+SUMIF(AK7:AK54,CONCATENATE("=",R45),AL7:AL54)</f>
        <v>0</v>
      </c>
      <c r="W45" s="46">
        <f>SUMIF(AQ7:AQ54,CONCATENATE("=",R45),AR7:AR54)+SUMIF(AM7:AM54,CONCATENATE("=",R45),AN7:AN54)</f>
        <v>0</v>
      </c>
      <c r="X45" s="46">
        <f>S45*3+T45</f>
        <v>0</v>
      </c>
      <c r="Y45" s="46">
        <f>0.1+AH45+V45*1000+(V45-W45)*100000+X45*10000000</f>
        <v>0.1</v>
      </c>
      <c r="Z45" s="45">
        <f>IF(COUNTIF(X42:X45,CONCATENATE("=",X45))=1,0,COUNTIF(X42:X45,CONCATENATE("=",X45)))*X45</f>
        <v>0</v>
      </c>
      <c r="AC45" s="46">
        <f>IF(X45=AB42,1,0)</f>
        <v>1</v>
      </c>
      <c r="AD45" s="46">
        <f>COUNTIF(AU7:AV54,CONCATENATE(R45,"_win"))</f>
        <v>0</v>
      </c>
      <c r="AE45" s="46">
        <f>SUMIF(BA7:BA54,CONCATENATE("=",R45),BB7:BB54)+SUMIF(AW7:AW54,CONCATENATE("=",R45),AX7:AX54)</f>
        <v>0</v>
      </c>
      <c r="AF45" s="46">
        <f>SUMIF(BC7:BC54,CONCATENATE("=",R45),BD7:BD54)+SUMIF(AY7:AY54,CONCATENATE("=",R45),AZ7:AZ54)</f>
        <v>0</v>
      </c>
      <c r="AG45" s="45">
        <f>300*AD45+(AE45-AF45)*10+AE45</f>
        <v>0</v>
      </c>
      <c r="AH45" s="45">
        <f>IF(AG45&gt;0,AG45,0)</f>
        <v>0</v>
      </c>
      <c r="AJ45" s="45">
        <f>VLOOKUP(F45,R7:AC59,12,FALSE)+VLOOKUP(C45,R7:AC59,12,FALSE)</f>
        <v>0</v>
      </c>
      <c r="AK45" s="45" t="str">
        <f t="shared" si="0"/>
        <v>ساحل عاج</v>
      </c>
      <c r="AL45" s="45">
        <f t="shared" si="1"/>
        <v>0</v>
      </c>
      <c r="AM45" s="45" t="str">
        <f t="shared" si="2"/>
        <v>ساحل عاج</v>
      </c>
      <c r="AN45" s="45">
        <f t="shared" si="3"/>
        <v>0</v>
      </c>
      <c r="AO45" s="45" t="str">
        <f t="shared" si="4"/>
        <v>صربستان و مونته نگرو</v>
      </c>
      <c r="AP45" s="45">
        <f t="shared" si="5"/>
        <v>0</v>
      </c>
      <c r="AQ45" s="45" t="str">
        <f t="shared" si="6"/>
        <v>صربستان و مونته نگرو</v>
      </c>
      <c r="AR45" s="45">
        <f t="shared" si="7"/>
        <v>0</v>
      </c>
      <c r="AS45" s="45">
        <f t="shared" si="8"/>
      </c>
      <c r="AT45" s="45">
        <f t="shared" si="9"/>
      </c>
      <c r="AU45" s="45">
        <f t="shared" si="10"/>
      </c>
      <c r="AV45" s="45">
        <f t="shared" si="11"/>
      </c>
      <c r="AW45" s="45">
        <f t="shared" si="12"/>
      </c>
      <c r="AX45" s="45">
        <f t="shared" si="13"/>
      </c>
      <c r="AY45" s="45">
        <f t="shared" si="14"/>
      </c>
      <c r="AZ45" s="45">
        <f t="shared" si="15"/>
      </c>
      <c r="BA45" s="45">
        <f t="shared" si="16"/>
      </c>
      <c r="BB45" s="45">
        <f t="shared" si="17"/>
      </c>
      <c r="BC45" s="45">
        <f t="shared" si="18"/>
      </c>
      <c r="BD45" s="45">
        <f t="shared" si="19"/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3.5" customHeight="1" thickBot="1">
      <c r="A46" s="38" t="str">
        <f>CONCATENATE(21+IF(GMT&gt;4,1,0)," ",INDEX(T,80,language))</f>
        <v>21 ژوئن</v>
      </c>
      <c r="B46" s="39">
        <f>TIME(19+GMT,0,0)</f>
        <v>0.9166666666666666</v>
      </c>
      <c r="C46" s="34" t="str">
        <f>R24</f>
        <v>هلند</v>
      </c>
      <c r="D46" s="27"/>
      <c r="E46" s="27"/>
      <c r="F46" s="35" t="str">
        <f>R21</f>
        <v>آرژانتین</v>
      </c>
      <c r="Z46" s="45">
        <f>MAX(Z42:Z45)</f>
        <v>0</v>
      </c>
      <c r="AJ46" s="45">
        <f>VLOOKUP(F46,R7:AC59,12,FALSE)+VLOOKUP(C46,R7:AC59,12,FALSE)</f>
        <v>1</v>
      </c>
      <c r="AK46" s="45" t="str">
        <f t="shared" si="0"/>
        <v>هلند</v>
      </c>
      <c r="AL46" s="45">
        <f t="shared" si="1"/>
        <v>0</v>
      </c>
      <c r="AM46" s="45" t="str">
        <f t="shared" si="2"/>
        <v>هلند</v>
      </c>
      <c r="AN46" s="45">
        <f t="shared" si="3"/>
        <v>0</v>
      </c>
      <c r="AO46" s="45" t="str">
        <f t="shared" si="4"/>
        <v>آرژانتین</v>
      </c>
      <c r="AP46" s="45">
        <f t="shared" si="5"/>
        <v>0</v>
      </c>
      <c r="AQ46" s="45" t="str">
        <f t="shared" si="6"/>
        <v>آرژانتین</v>
      </c>
      <c r="AR46" s="45">
        <f t="shared" si="7"/>
        <v>0</v>
      </c>
      <c r="AS46" s="45">
        <f t="shared" si="8"/>
      </c>
      <c r="AT46" s="45">
        <f t="shared" si="9"/>
      </c>
      <c r="AU46" s="45">
        <f t="shared" si="10"/>
      </c>
      <c r="AV46" s="45">
        <f t="shared" si="11"/>
      </c>
      <c r="AW46" s="45">
        <f t="shared" si="12"/>
      </c>
      <c r="AX46" s="45">
        <f t="shared" si="13"/>
      </c>
      <c r="AY46" s="45">
        <f t="shared" si="14"/>
      </c>
      <c r="AZ46" s="45">
        <f t="shared" si="15"/>
      </c>
      <c r="BA46" s="45">
        <f t="shared" si="16"/>
      </c>
      <c r="BB46" s="45">
        <f t="shared" si="17"/>
      </c>
      <c r="BC46" s="45">
        <f t="shared" si="18"/>
      </c>
      <c r="BD46" s="45">
        <f t="shared" si="19"/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3.5" customHeight="1" thickBot="1">
      <c r="A47" s="38" t="str">
        <f>CONCATENATE(22+IF(GMT&gt;9,1,0)," ",INDEX(T,80,language))</f>
        <v>22 ژوئن</v>
      </c>
      <c r="B47" s="39">
        <f>TIME(14+GMT,0,0)</f>
        <v>0.7083333333333334</v>
      </c>
      <c r="C47" s="34" t="str">
        <f>R36</f>
        <v>غنا</v>
      </c>
      <c r="D47" s="27"/>
      <c r="E47" s="27"/>
      <c r="F47" s="35" t="str">
        <f>R37</f>
        <v>آمریکا</v>
      </c>
      <c r="J47" s="68" t="str">
        <f>CONCATENATE(INDEX(T,40,language)," G")</f>
        <v>گروه G</v>
      </c>
      <c r="K47" s="70" t="str">
        <f>INDEX(T,35,language)</f>
        <v>برد</v>
      </c>
      <c r="L47" s="70" t="str">
        <f>INDEX(T,36,language)</f>
        <v>تساوی</v>
      </c>
      <c r="M47" s="70" t="str">
        <f>INDEX(T,37,language)</f>
        <v>باخت</v>
      </c>
      <c r="N47" s="70" t="str">
        <f>INDEX(T,38,language)</f>
        <v>خورده – زده</v>
      </c>
      <c r="O47" s="72" t="str">
        <f>INDEX(T,39,language)</f>
        <v>امتیاز</v>
      </c>
      <c r="AJ47" s="45">
        <f>VLOOKUP(F47,R7:AC59,12,FALSE)+VLOOKUP(C47,R7:AC59,12,FALSE)</f>
        <v>2</v>
      </c>
      <c r="AK47" s="45" t="str">
        <f t="shared" si="0"/>
        <v>غنا</v>
      </c>
      <c r="AL47" s="45">
        <f t="shared" si="1"/>
        <v>0</v>
      </c>
      <c r="AM47" s="45" t="str">
        <f t="shared" si="2"/>
        <v>غنا</v>
      </c>
      <c r="AN47" s="45">
        <f t="shared" si="3"/>
        <v>0</v>
      </c>
      <c r="AO47" s="45" t="str">
        <f t="shared" si="4"/>
        <v>آمریکا</v>
      </c>
      <c r="AP47" s="45">
        <f t="shared" si="5"/>
        <v>0</v>
      </c>
      <c r="AQ47" s="45" t="str">
        <f t="shared" si="6"/>
        <v>آمریکا</v>
      </c>
      <c r="AR47" s="45">
        <f t="shared" si="7"/>
        <v>0</v>
      </c>
      <c r="AS47" s="45">
        <f t="shared" si="8"/>
      </c>
      <c r="AT47" s="45">
        <f t="shared" si="9"/>
      </c>
      <c r="AU47" s="45">
        <f t="shared" si="10"/>
      </c>
      <c r="AV47" s="45">
        <f t="shared" si="11"/>
      </c>
      <c r="AW47" s="45" t="str">
        <f t="shared" si="12"/>
        <v>غنا</v>
      </c>
      <c r="AX47" s="45">
        <f t="shared" si="13"/>
        <v>0</v>
      </c>
      <c r="AY47" s="45" t="str">
        <f t="shared" si="14"/>
        <v>غنا</v>
      </c>
      <c r="AZ47" s="45">
        <f t="shared" si="15"/>
        <v>0</v>
      </c>
      <c r="BA47" s="45" t="str">
        <f t="shared" si="16"/>
        <v>آمریکا</v>
      </c>
      <c r="BB47" s="45">
        <f t="shared" si="17"/>
        <v>0</v>
      </c>
      <c r="BC47" s="45" t="str">
        <f t="shared" si="18"/>
        <v>آمریکا</v>
      </c>
      <c r="BD47" s="45">
        <f t="shared" si="19"/>
        <v>0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3.5" customHeight="1" thickBot="1">
      <c r="A48" s="38" t="str">
        <f>CONCATENATE(22+IF(GMT&gt;9,1,0)," ",INDEX(T,80,language))</f>
        <v>22 ژوئن</v>
      </c>
      <c r="B48" s="39">
        <f>TIME(14+GMT,0,0)</f>
        <v>0.7083333333333334</v>
      </c>
      <c r="C48" s="34" t="str">
        <f>R38</f>
        <v>جمهوری چک</v>
      </c>
      <c r="D48" s="27"/>
      <c r="E48" s="27"/>
      <c r="F48" s="35" t="str">
        <f>R35</f>
        <v>ایتالیا</v>
      </c>
      <c r="J48" s="69"/>
      <c r="K48" s="71"/>
      <c r="L48" s="71"/>
      <c r="M48" s="71"/>
      <c r="N48" s="71"/>
      <c r="O48" s="73"/>
      <c r="AJ48" s="45">
        <f>VLOOKUP(F48,R7:AC59,12,FALSE)+VLOOKUP(C48,R7:AC59,12,FALSE)</f>
        <v>2</v>
      </c>
      <c r="AK48" s="45" t="str">
        <f t="shared" si="0"/>
        <v>جمهوری چک</v>
      </c>
      <c r="AL48" s="45">
        <f t="shared" si="1"/>
        <v>0</v>
      </c>
      <c r="AM48" s="45" t="str">
        <f t="shared" si="2"/>
        <v>جمهوری چک</v>
      </c>
      <c r="AN48" s="45">
        <f t="shared" si="3"/>
        <v>0</v>
      </c>
      <c r="AO48" s="45" t="str">
        <f t="shared" si="4"/>
        <v>ایتالیا</v>
      </c>
      <c r="AP48" s="45">
        <f t="shared" si="5"/>
        <v>0</v>
      </c>
      <c r="AQ48" s="45" t="str">
        <f t="shared" si="6"/>
        <v>ایتالیا</v>
      </c>
      <c r="AR48" s="45">
        <f t="shared" si="7"/>
        <v>0</v>
      </c>
      <c r="AS48" s="45">
        <f t="shared" si="8"/>
      </c>
      <c r="AT48" s="45">
        <f t="shared" si="9"/>
      </c>
      <c r="AU48" s="45">
        <f t="shared" si="10"/>
      </c>
      <c r="AV48" s="45">
        <f t="shared" si="11"/>
      </c>
      <c r="AW48" s="45" t="str">
        <f t="shared" si="12"/>
        <v>جمهوری چک</v>
      </c>
      <c r="AX48" s="45">
        <f t="shared" si="13"/>
        <v>0</v>
      </c>
      <c r="AY48" s="45" t="str">
        <f t="shared" si="14"/>
        <v>جمهوری چک</v>
      </c>
      <c r="AZ48" s="45">
        <f t="shared" si="15"/>
        <v>0</v>
      </c>
      <c r="BA48" s="45" t="str">
        <f t="shared" si="16"/>
        <v>ایتالیا</v>
      </c>
      <c r="BB48" s="45">
        <f t="shared" si="17"/>
        <v>0</v>
      </c>
      <c r="BC48" s="45" t="str">
        <f t="shared" si="18"/>
        <v>ایتالیا</v>
      </c>
      <c r="BD48" s="45">
        <f t="shared" si="19"/>
        <v>0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3.5" customHeight="1" thickBot="1">
      <c r="A49" s="38" t="str">
        <f>CONCATENATE(22+IF(GMT&gt;4,1,0)," ",INDEX(T,80,language))</f>
        <v>22 ژوئن</v>
      </c>
      <c r="B49" s="39">
        <f>TIME(19+GMT,0,0)</f>
        <v>0.9166666666666666</v>
      </c>
      <c r="C49" s="34" t="str">
        <f>R43</f>
        <v>کرواسی</v>
      </c>
      <c r="D49" s="27"/>
      <c r="E49" s="27"/>
      <c r="F49" s="35" t="str">
        <f>R44</f>
        <v>استرالیا</v>
      </c>
      <c r="J49" s="6" t="str">
        <f>VLOOKUP(4,Q49:X52,2,FALSE)</f>
        <v>فرانسه</v>
      </c>
      <c r="K49" s="7">
        <f>VLOOKUP(4,Q49:X52,3,FALSE)</f>
        <v>0</v>
      </c>
      <c r="L49" s="7">
        <f>VLOOKUP(4,Q49:X52,4,FALSE)</f>
        <v>0</v>
      </c>
      <c r="M49" s="7">
        <f>VLOOKUP(4,Q49:X52,5,FALSE)</f>
        <v>0</v>
      </c>
      <c r="N49" s="7" t="str">
        <f>CONCATENATE(VLOOKUP(4,Q49:X52,6,FALSE)," - ",VLOOKUP(4,Q49:X52,7,FALSE))</f>
        <v>0 - 0</v>
      </c>
      <c r="O49" s="8">
        <f>VLOOKUP(4,Q49:X52,8,FALSE)</f>
        <v>0</v>
      </c>
      <c r="Q49" s="44">
        <f>IF(Y49&gt;Y49,1,0)+IF(Y49&gt;Y50,1,0)+IF(Y49&gt;Y51,1,0)+IF(Y49&gt;Y52,1,0)+1</f>
        <v>4</v>
      </c>
      <c r="R49" s="45" t="str">
        <f>INDEX(T,27,language)</f>
        <v>فرانسه</v>
      </c>
      <c r="S49" s="46">
        <f>COUNTIF(AS7:AT54,CONCATENATE(R49,"_win"))</f>
        <v>0</v>
      </c>
      <c r="T49" s="46">
        <f>COUNTIF(AS7:AT54,CONCATENATE(R49,"_draw"))</f>
        <v>0</v>
      </c>
      <c r="U49" s="46">
        <f>COUNTIF(AS7:AT54,CONCATENATE(R49,"_lose"))</f>
        <v>0</v>
      </c>
      <c r="V49" s="46">
        <f>SUMIF(AO7:AO54,CONCATENATE("=",R49),AP7:AP54)+SUMIF(AK7:AK54,CONCATENATE("=",R49),AL7:AL54)</f>
        <v>0</v>
      </c>
      <c r="W49" s="46">
        <f>SUMIF(AQ7:AQ54,CONCATENATE("=",R49),AR7:AR54)+SUMIF(AM7:AM54,CONCATENATE("=",R49),AN7:AN54)</f>
        <v>0</v>
      </c>
      <c r="X49" s="46">
        <f>S49*3+T49</f>
        <v>0</v>
      </c>
      <c r="Y49" s="46">
        <f>0.4+AH49+V49*1000+(V49-W49)*100000+X49*10000000</f>
        <v>0.4</v>
      </c>
      <c r="Z49" s="45">
        <f>IF(COUNTIF(X49:X52,CONCATENATE("=",X49))=1,0,COUNTIF(X49:X52,CONCATENATE("=",X49)))*X49</f>
        <v>0</v>
      </c>
      <c r="AA49" s="45" t="str">
        <f>IF(SUM(S49:U52)=12,J49,INDEX(T,60,language))</f>
        <v>برنده گروه G</v>
      </c>
      <c r="AB49" s="46">
        <f>IF(Z49=Z53,X49,IF(Z50=Z53,X50,IF(Z51=Z53,X51,X52)))</f>
        <v>0</v>
      </c>
      <c r="AC49" s="46">
        <f>IF(X49=AB49,1,0)</f>
        <v>1</v>
      </c>
      <c r="AD49" s="46">
        <f>COUNTIF(AU7:AV54,CONCATENATE(R49,"_win"))</f>
        <v>0</v>
      </c>
      <c r="AE49" s="46">
        <f>SUMIF(BA7:BA54,CONCATENATE("=",R49),BB7:BB54)+SUMIF(AW7:AW54,CONCATENATE("=",R49),AX7:AX54)</f>
        <v>0</v>
      </c>
      <c r="AF49" s="46">
        <f>SUMIF(BC7:BC54,CONCATENATE("=",R49),BD7:BD54)+SUMIF(AY7:AY54,CONCATENATE("=",R49),AZ7:AZ54)</f>
        <v>0</v>
      </c>
      <c r="AG49" s="45">
        <f>300*AD49+(AE49-AF49)*10+AE49</f>
        <v>0</v>
      </c>
      <c r="AH49" s="45">
        <f>IF(AG49&gt;0,AG49,0)</f>
        <v>0</v>
      </c>
      <c r="AJ49" s="45">
        <f>VLOOKUP(F49,R7:AC59,12,FALSE)+VLOOKUP(C49,R7:AC59,12,FALSE)</f>
        <v>2</v>
      </c>
      <c r="AK49" s="45" t="str">
        <f t="shared" si="0"/>
        <v>کرواسی</v>
      </c>
      <c r="AL49" s="45">
        <f t="shared" si="1"/>
        <v>0</v>
      </c>
      <c r="AM49" s="45" t="str">
        <f t="shared" si="2"/>
        <v>کرواسی</v>
      </c>
      <c r="AN49" s="45">
        <f t="shared" si="3"/>
        <v>0</v>
      </c>
      <c r="AO49" s="45" t="str">
        <f t="shared" si="4"/>
        <v>استرالیا</v>
      </c>
      <c r="AP49" s="45">
        <f t="shared" si="5"/>
        <v>0</v>
      </c>
      <c r="AQ49" s="45" t="str">
        <f t="shared" si="6"/>
        <v>استرالیا</v>
      </c>
      <c r="AR49" s="45">
        <f t="shared" si="7"/>
        <v>0</v>
      </c>
      <c r="AS49" s="45">
        <f t="shared" si="8"/>
      </c>
      <c r="AT49" s="45">
        <f t="shared" si="9"/>
      </c>
      <c r="AU49" s="45">
        <f t="shared" si="10"/>
      </c>
      <c r="AV49" s="45">
        <f t="shared" si="11"/>
      </c>
      <c r="AW49" s="45" t="str">
        <f t="shared" si="12"/>
        <v>کرواسی</v>
      </c>
      <c r="AX49" s="45">
        <f t="shared" si="13"/>
        <v>0</v>
      </c>
      <c r="AY49" s="45" t="str">
        <f t="shared" si="14"/>
        <v>کرواسی</v>
      </c>
      <c r="AZ49" s="45">
        <f t="shared" si="15"/>
        <v>0</v>
      </c>
      <c r="BA49" s="45" t="str">
        <f t="shared" si="16"/>
        <v>استرالیا</v>
      </c>
      <c r="BB49" s="45">
        <f t="shared" si="17"/>
        <v>0</v>
      </c>
      <c r="BC49" s="45" t="str">
        <f t="shared" si="18"/>
        <v>استرالیا</v>
      </c>
      <c r="BD49" s="45">
        <f t="shared" si="19"/>
        <v>0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3.5" customHeight="1" thickBot="1">
      <c r="A50" s="38" t="str">
        <f>CONCATENATE(22+IF(GMT&gt;4,1,0)," ",INDEX(T,80,language))</f>
        <v>22 ژوئن</v>
      </c>
      <c r="B50" s="39">
        <f>TIME(19+GMT,0,0)</f>
        <v>0.9166666666666666</v>
      </c>
      <c r="C50" s="34" t="str">
        <f>R45</f>
        <v>ژاپن</v>
      </c>
      <c r="D50" s="27"/>
      <c r="E50" s="27"/>
      <c r="F50" s="35" t="str">
        <f>R42</f>
        <v>برزیل</v>
      </c>
      <c r="J50" s="10" t="str">
        <f>VLOOKUP(3,Q49:X52,2,FALSE)</f>
        <v>سوئیس</v>
      </c>
      <c r="K50" s="11">
        <f>VLOOKUP(3,Q49:X52,3,FALSE)</f>
        <v>0</v>
      </c>
      <c r="L50" s="11">
        <f>VLOOKUP(3,Q49:X52,4,FALSE)</f>
        <v>0</v>
      </c>
      <c r="M50" s="11">
        <f>VLOOKUP(3,Q49:X52,5,FALSE)</f>
        <v>0</v>
      </c>
      <c r="N50" s="11" t="str">
        <f>CONCATENATE(VLOOKUP(3,Q49:X52,6,FALSE)," - ",VLOOKUP(3,Q49:X52,7,FALSE))</f>
        <v>0 - 0</v>
      </c>
      <c r="O50" s="12">
        <f>VLOOKUP(3,Q49:X52,8,FALSE)</f>
        <v>0</v>
      </c>
      <c r="Q50" s="44">
        <f>IF(Y50&gt;Y49,1,0)+IF(Y50&gt;Y50,1,0)+IF(Y50&gt;Y51,1,0)+IF(Y50&gt;Y52,1,0)+1</f>
        <v>3</v>
      </c>
      <c r="R50" s="45" t="str">
        <f>INDEX(T,28,language)</f>
        <v>سوئیس</v>
      </c>
      <c r="S50" s="46">
        <f>COUNTIF(AS7:AT54,CONCATENATE(R50,"_win"))</f>
        <v>0</v>
      </c>
      <c r="T50" s="46">
        <f>COUNTIF(AS7:AT54,CONCATENATE(R50,"_draw"))</f>
        <v>0</v>
      </c>
      <c r="U50" s="46">
        <f>COUNTIF(AS7:AT54,CONCATENATE(R50,"_lose"))</f>
        <v>0</v>
      </c>
      <c r="V50" s="46">
        <f>SUMIF(AO7:AO54,CONCATENATE("=",R50),AP7:AP54)+SUMIF(AK7:AK54,CONCATENATE("=",R50),AL7:AL54)</f>
        <v>0</v>
      </c>
      <c r="W50" s="46">
        <f>SUMIF(AQ7:AQ54,CONCATENATE("=",R50),AR7:AR54)+SUMIF(AM7:AM54,CONCATENATE("=",R50),AN7:AN54)</f>
        <v>0</v>
      </c>
      <c r="X50" s="46">
        <f>S50*3+T50</f>
        <v>0</v>
      </c>
      <c r="Y50" s="46">
        <f>0.3+AH50+V50*1000+(V50-W50)*100000+X50*10000000</f>
        <v>0.3</v>
      </c>
      <c r="Z50" s="45">
        <f>IF(COUNTIF(X49:X52,CONCATENATE("=",X50))=1,0,COUNTIF(X49:X52,CONCATENATE("=",X50)))*X50</f>
        <v>0</v>
      </c>
      <c r="AA50" s="45" t="str">
        <f>IF(SUM(S49:U52)=12,J50,INDEX(T,61,language))</f>
        <v>دوم گروه G</v>
      </c>
      <c r="AC50" s="46">
        <f>IF(X50=AB49,1,0)</f>
        <v>1</v>
      </c>
      <c r="AD50" s="46">
        <f>COUNTIF(AU7:AV54,CONCATENATE(R50,"_win"))</f>
        <v>0</v>
      </c>
      <c r="AE50" s="46">
        <f>SUMIF(BA7:BA54,CONCATENATE("=",R50),BB7:BB54)+SUMIF(AW7:AW54,CONCATENATE("=",R50),AX7:AX54)</f>
        <v>0</v>
      </c>
      <c r="AF50" s="46">
        <f>SUMIF(BC7:BC54,CONCATENATE("=",R50),BD7:BD54)+SUMIF(AY7:AY54,CONCATENATE("=",R50),AZ7:AZ54)</f>
        <v>0</v>
      </c>
      <c r="AG50" s="45">
        <f>300*AD50+(AE50-AF50)*10+AE50</f>
        <v>0</v>
      </c>
      <c r="AH50" s="45">
        <f>IF(AG50&gt;0,AG50,0)</f>
        <v>0</v>
      </c>
      <c r="AJ50" s="45">
        <f>VLOOKUP(F50,R7:AC59,12,FALSE)+VLOOKUP(C50,R7:AC59,12,FALSE)</f>
        <v>2</v>
      </c>
      <c r="AK50" s="45" t="str">
        <f t="shared" si="0"/>
        <v>ژاپن</v>
      </c>
      <c r="AL50" s="45">
        <f t="shared" si="1"/>
        <v>0</v>
      </c>
      <c r="AM50" s="45" t="str">
        <f t="shared" si="2"/>
        <v>ژاپن</v>
      </c>
      <c r="AN50" s="45">
        <f t="shared" si="3"/>
        <v>0</v>
      </c>
      <c r="AO50" s="45" t="str">
        <f t="shared" si="4"/>
        <v>برزیل</v>
      </c>
      <c r="AP50" s="45">
        <f t="shared" si="5"/>
        <v>0</v>
      </c>
      <c r="AQ50" s="45" t="str">
        <f t="shared" si="6"/>
        <v>برزیل</v>
      </c>
      <c r="AR50" s="45">
        <f t="shared" si="7"/>
        <v>0</v>
      </c>
      <c r="AS50" s="45">
        <f t="shared" si="8"/>
      </c>
      <c r="AT50" s="45">
        <f t="shared" si="9"/>
      </c>
      <c r="AU50" s="45">
        <f t="shared" si="10"/>
      </c>
      <c r="AV50" s="45">
        <f t="shared" si="11"/>
      </c>
      <c r="AW50" s="45" t="str">
        <f t="shared" si="12"/>
        <v>ژاپن</v>
      </c>
      <c r="AX50" s="45">
        <f t="shared" si="13"/>
        <v>0</v>
      </c>
      <c r="AY50" s="45" t="str">
        <f t="shared" si="14"/>
        <v>ژاپن</v>
      </c>
      <c r="AZ50" s="45">
        <f t="shared" si="15"/>
        <v>0</v>
      </c>
      <c r="BA50" s="45" t="str">
        <f t="shared" si="16"/>
        <v>برزیل</v>
      </c>
      <c r="BB50" s="45">
        <f t="shared" si="17"/>
        <v>0</v>
      </c>
      <c r="BC50" s="45" t="str">
        <f t="shared" si="18"/>
        <v>برزیل</v>
      </c>
      <c r="BD50" s="45">
        <f t="shared" si="19"/>
        <v>0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3.5" customHeight="1" thickBot="1">
      <c r="A51" s="38" t="str">
        <f>CONCATENATE(23+IF(GMT&gt;9,1,0)," ",INDEX(T,80,language))</f>
        <v>23 ژوئن</v>
      </c>
      <c r="B51" s="39">
        <f>TIME(14+GMT,0,0)</f>
        <v>0.7083333333333334</v>
      </c>
      <c r="C51" s="34" t="str">
        <f>R57</f>
        <v>اوکراین</v>
      </c>
      <c r="D51" s="27"/>
      <c r="E51" s="27"/>
      <c r="F51" s="35" t="str">
        <f>R58</f>
        <v>تونس</v>
      </c>
      <c r="J51" s="10" t="str">
        <f>VLOOKUP(2,Q49:X52,2,FALSE)</f>
        <v>کره جنوبی</v>
      </c>
      <c r="K51" s="11">
        <f>VLOOKUP(2,Q49:X52,3,FALSE)</f>
        <v>0</v>
      </c>
      <c r="L51" s="11">
        <f>VLOOKUP(2,Q49:X52,4,FALSE)</f>
        <v>0</v>
      </c>
      <c r="M51" s="11">
        <f>VLOOKUP(2,Q49:X52,5,FALSE)</f>
        <v>0</v>
      </c>
      <c r="N51" s="11" t="str">
        <f>CONCATENATE(VLOOKUP(2,Q49:X52,6,FALSE)," - ",VLOOKUP(2,Q49:X52,7,FALSE))</f>
        <v>0 - 0</v>
      </c>
      <c r="O51" s="12">
        <f>VLOOKUP(2,Q49:X52,8,FALSE)</f>
        <v>0</v>
      </c>
      <c r="Q51" s="44">
        <f>IF(Y51&gt;Y49,1,0)+IF(Y51&gt;Y50,1,0)+IF(Y51&gt;Y51,1,0)+IF(Y51&gt;Y52,1,0)+1</f>
        <v>2</v>
      </c>
      <c r="R51" s="45" t="str">
        <f>INDEX(T,29,language)</f>
        <v>کره جنوبی</v>
      </c>
      <c r="S51" s="46">
        <f>COUNTIF(AS7:AT54,CONCATENATE(R51,"_win"))</f>
        <v>0</v>
      </c>
      <c r="T51" s="46">
        <f>COUNTIF(AS7:AT54,CONCATENATE(R51,"_draw"))</f>
        <v>0</v>
      </c>
      <c r="U51" s="46">
        <f>COUNTIF(AS7:AT54,CONCATENATE(R51,"_lose"))</f>
        <v>0</v>
      </c>
      <c r="V51" s="46">
        <f>SUMIF(AO7:AO54,CONCATENATE("=",R51),AP7:AP54)+SUMIF(AK7:AK54,CONCATENATE("=",R51),AL7:AL54)</f>
        <v>0</v>
      </c>
      <c r="W51" s="46">
        <f>SUMIF(AQ7:AQ54,CONCATENATE("=",R51),AR7:AR54)+SUMIF(AM7:AM54,CONCATENATE("=",R51),AN7:AN54)</f>
        <v>0</v>
      </c>
      <c r="X51" s="46">
        <f>S51*3+T51</f>
        <v>0</v>
      </c>
      <c r="Y51" s="46">
        <f>0.2+AH51+V51*1000+(V51-W51)*100000+X51*10000000</f>
        <v>0.2</v>
      </c>
      <c r="Z51" s="45">
        <f>IF(COUNTIF(X49:X52,CONCATENATE("=",X51))=1,0,COUNTIF(X49:X52,CONCATENATE("=",X51)))*X51</f>
        <v>0</v>
      </c>
      <c r="AC51" s="46">
        <f>IF(X51=AB49,1,0)</f>
        <v>1</v>
      </c>
      <c r="AD51" s="46">
        <f>COUNTIF(AU7:AV54,CONCATENATE(R51,"_win"))</f>
        <v>0</v>
      </c>
      <c r="AE51" s="46">
        <f>SUMIF(BA7:BA54,CONCATENATE("=",R51),BB7:BB54)+SUMIF(AW7:AW54,CONCATENATE("=",R51),AX7:AX54)</f>
        <v>0</v>
      </c>
      <c r="AF51" s="46">
        <f>SUMIF(BC7:BC54,CONCATENATE("=",R51),BD7:BD54)+SUMIF(AY7:AY54,CONCATENATE("=",R51),AZ7:AZ54)</f>
        <v>0</v>
      </c>
      <c r="AG51" s="45">
        <f>300*AD51+(AE51-AF51)*10+AE51</f>
        <v>0</v>
      </c>
      <c r="AH51" s="45">
        <f>IF(AG51&gt;0,AG51,0)</f>
        <v>0</v>
      </c>
      <c r="AJ51" s="45">
        <f>VLOOKUP(F51,R7:AC59,12,FALSE)+VLOOKUP(C51,R7:AC59,12,FALSE)</f>
        <v>2</v>
      </c>
      <c r="AK51" s="45" t="str">
        <f t="shared" si="0"/>
        <v>اوکراین</v>
      </c>
      <c r="AL51" s="45">
        <f t="shared" si="1"/>
        <v>0</v>
      </c>
      <c r="AM51" s="45" t="str">
        <f t="shared" si="2"/>
        <v>اوکراین</v>
      </c>
      <c r="AN51" s="45">
        <f t="shared" si="3"/>
        <v>0</v>
      </c>
      <c r="AO51" s="45" t="str">
        <f t="shared" si="4"/>
        <v>تونس</v>
      </c>
      <c r="AP51" s="45">
        <f t="shared" si="5"/>
        <v>0</v>
      </c>
      <c r="AQ51" s="45" t="str">
        <f t="shared" si="6"/>
        <v>تونس</v>
      </c>
      <c r="AR51" s="45">
        <f t="shared" si="7"/>
        <v>0</v>
      </c>
      <c r="AS51" s="45">
        <f t="shared" si="8"/>
      </c>
      <c r="AT51" s="45">
        <f t="shared" si="9"/>
      </c>
      <c r="AU51" s="45">
        <f t="shared" si="10"/>
      </c>
      <c r="AV51" s="45">
        <f t="shared" si="11"/>
      </c>
      <c r="AW51" s="45" t="str">
        <f t="shared" si="12"/>
        <v>اوکراین</v>
      </c>
      <c r="AX51" s="45">
        <f t="shared" si="13"/>
        <v>0</v>
      </c>
      <c r="AY51" s="45" t="str">
        <f t="shared" si="14"/>
        <v>اوکراین</v>
      </c>
      <c r="AZ51" s="45">
        <f t="shared" si="15"/>
        <v>0</v>
      </c>
      <c r="BA51" s="45" t="str">
        <f t="shared" si="16"/>
        <v>تونس</v>
      </c>
      <c r="BB51" s="45">
        <f t="shared" si="17"/>
        <v>0</v>
      </c>
      <c r="BC51" s="45" t="str">
        <f t="shared" si="18"/>
        <v>تونس</v>
      </c>
      <c r="BD51" s="45">
        <f t="shared" si="19"/>
        <v>0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3.5" customHeight="1" thickBot="1">
      <c r="A52" s="38" t="str">
        <f>CONCATENATE(23+IF(GMT&gt;9,1,0)," ",INDEX(T,80,language))</f>
        <v>23 ژوئن</v>
      </c>
      <c r="B52" s="39">
        <f>TIME(14+GMT,0,0)</f>
        <v>0.7083333333333334</v>
      </c>
      <c r="C52" s="34" t="str">
        <f>R59</f>
        <v>عربستان سعودی</v>
      </c>
      <c r="D52" s="27"/>
      <c r="E52" s="27"/>
      <c r="F52" s="35" t="str">
        <f>R56</f>
        <v>اسپانیا</v>
      </c>
      <c r="J52" s="13" t="str">
        <f>VLOOKUP(1,Q49:X52,2,FALSE)</f>
        <v>توگو</v>
      </c>
      <c r="K52" s="14">
        <f>VLOOKUP(1,Q49:X52,3,FALSE)</f>
        <v>0</v>
      </c>
      <c r="L52" s="14">
        <f>VLOOKUP(1,Q49:X52,4,FALSE)</f>
        <v>0</v>
      </c>
      <c r="M52" s="14">
        <f>VLOOKUP(1,Q49:X52,5,FALSE)</f>
        <v>0</v>
      </c>
      <c r="N52" s="14" t="str">
        <f>CONCATENATE(VLOOKUP(1,Q49:X52,6,FALSE)," - ",VLOOKUP(1,Q49:X52,7,FALSE))</f>
        <v>0 - 0</v>
      </c>
      <c r="O52" s="15">
        <f>VLOOKUP(1,Q49:X52,8,FALSE)</f>
        <v>0</v>
      </c>
      <c r="Q52" s="44">
        <f>IF(Y52&gt;Y49,1,0)+IF(Y52&gt;Y50,1,0)+IF(Y52&gt;Y51,1,0)+IF(Y52&gt;Y52,1,0)+1</f>
        <v>1</v>
      </c>
      <c r="R52" s="45" t="str">
        <f>INDEX(T,30,language)</f>
        <v>توگو</v>
      </c>
      <c r="S52" s="46">
        <f>COUNTIF(AS7:AT54,CONCATENATE(R52,"_win"))</f>
        <v>0</v>
      </c>
      <c r="T52" s="46">
        <f>COUNTIF(AS7:AT54,CONCATENATE(R52,"_draw"))</f>
        <v>0</v>
      </c>
      <c r="U52" s="46">
        <f>COUNTIF(AS7:AT54,CONCATENATE(R52,"_lose"))</f>
        <v>0</v>
      </c>
      <c r="V52" s="46">
        <f>SUMIF(AO7:AO54,CONCATENATE("=",R52),AP7:AP54)+SUMIF(AK7:AK54,CONCATENATE("=",R52),AL7:AL54)</f>
        <v>0</v>
      </c>
      <c r="W52" s="46">
        <f>SUMIF(AQ7:AQ54,CONCATENATE("=",R52),AR7:AR54)+SUMIF(AM7:AM54,CONCATENATE("=",R52),AN7:AN54)</f>
        <v>0</v>
      </c>
      <c r="X52" s="46">
        <f>S52*3+T52</f>
        <v>0</v>
      </c>
      <c r="Y52" s="46">
        <f>0.1+AH52+V52*1000+(V52-W52)*100000+X52*10000000</f>
        <v>0.1</v>
      </c>
      <c r="Z52" s="45">
        <f>IF(COUNTIF(X49:X52,CONCATENATE("=",X52))=1,0,COUNTIF(X49:X52,CONCATENATE("=",X52)))*X52</f>
        <v>0</v>
      </c>
      <c r="AC52" s="46">
        <f>IF(X52=AB49,1,0)</f>
        <v>1</v>
      </c>
      <c r="AD52" s="46">
        <f>COUNTIF(AU7:AV54,CONCATENATE(R52,"_win"))</f>
        <v>0</v>
      </c>
      <c r="AE52" s="46">
        <f>SUMIF(BA7:BA54,CONCATENATE("=",R52),BB7:BB54)+SUMIF(AW7:AW54,CONCATENATE("=",R52),AX7:AX54)</f>
        <v>0</v>
      </c>
      <c r="AF52" s="46">
        <f>SUMIF(BC7:BC54,CONCATENATE("=",R52),BD7:BD54)+SUMIF(AY7:AY54,CONCATENATE("=",R52),AZ7:AZ54)</f>
        <v>0</v>
      </c>
      <c r="AG52" s="45">
        <f>300*AD52+(AE52-AF52)*10+AE52</f>
        <v>0</v>
      </c>
      <c r="AH52" s="45">
        <f>IF(AG52&gt;0,AG52,0)</f>
        <v>0</v>
      </c>
      <c r="AJ52" s="45">
        <f>VLOOKUP(F52,R7:AC59,12,FALSE)+VLOOKUP(C52,R7:AC59,12,FALSE)</f>
        <v>2</v>
      </c>
      <c r="AK52" s="45" t="str">
        <f t="shared" si="0"/>
        <v>عربستان سعودی</v>
      </c>
      <c r="AL52" s="45">
        <f t="shared" si="1"/>
        <v>0</v>
      </c>
      <c r="AM52" s="45" t="str">
        <f t="shared" si="2"/>
        <v>عربستان سعودی</v>
      </c>
      <c r="AN52" s="45">
        <f t="shared" si="3"/>
        <v>0</v>
      </c>
      <c r="AO52" s="45" t="str">
        <f t="shared" si="4"/>
        <v>اسپانیا</v>
      </c>
      <c r="AP52" s="45">
        <f t="shared" si="5"/>
        <v>0</v>
      </c>
      <c r="AQ52" s="45" t="str">
        <f t="shared" si="6"/>
        <v>اسپانیا</v>
      </c>
      <c r="AR52" s="45">
        <f t="shared" si="7"/>
        <v>0</v>
      </c>
      <c r="AS52" s="45">
        <f t="shared" si="8"/>
      </c>
      <c r="AT52" s="45">
        <f t="shared" si="9"/>
      </c>
      <c r="AU52" s="45">
        <f t="shared" si="10"/>
      </c>
      <c r="AV52" s="45">
        <f t="shared" si="11"/>
      </c>
      <c r="AW52" s="45" t="str">
        <f t="shared" si="12"/>
        <v>عربستان سعودی</v>
      </c>
      <c r="AX52" s="45">
        <f t="shared" si="13"/>
        <v>0</v>
      </c>
      <c r="AY52" s="45" t="str">
        <f t="shared" si="14"/>
        <v>عربستان سعودی</v>
      </c>
      <c r="AZ52" s="45">
        <f t="shared" si="15"/>
        <v>0</v>
      </c>
      <c r="BA52" s="45" t="str">
        <f t="shared" si="16"/>
        <v>اسپانیا</v>
      </c>
      <c r="BB52" s="45">
        <f t="shared" si="17"/>
        <v>0</v>
      </c>
      <c r="BC52" s="45" t="str">
        <f t="shared" si="18"/>
        <v>اسپانیا</v>
      </c>
      <c r="BD52" s="45">
        <f t="shared" si="19"/>
        <v>0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3.5" customHeight="1" thickBot="1">
      <c r="A53" s="38" t="str">
        <f>CONCATENATE(23+IF(GMT&gt;4,1,0)," ",INDEX(T,80,language))</f>
        <v>23 ژوئن</v>
      </c>
      <c r="B53" s="39">
        <f>TIME(19+GMT,0,0)</f>
        <v>0.9166666666666666</v>
      </c>
      <c r="C53" s="34" t="str">
        <f>R50</f>
        <v>سوئیس</v>
      </c>
      <c r="D53" s="27"/>
      <c r="E53" s="27"/>
      <c r="F53" s="35" t="str">
        <f>R51</f>
        <v>کره جنوبی</v>
      </c>
      <c r="Z53" s="45">
        <f>MAX(Z49:Z52)</f>
        <v>0</v>
      </c>
      <c r="AJ53" s="45">
        <f>VLOOKUP(F53,R7:AC59,12,FALSE)+VLOOKUP(C53,R7:AC59,12,FALSE)</f>
        <v>2</v>
      </c>
      <c r="AK53" s="45" t="str">
        <f t="shared" si="0"/>
        <v>سوئیس</v>
      </c>
      <c r="AL53" s="45">
        <f t="shared" si="1"/>
        <v>0</v>
      </c>
      <c r="AM53" s="45" t="str">
        <f t="shared" si="2"/>
        <v>سوئیس</v>
      </c>
      <c r="AN53" s="45">
        <f t="shared" si="3"/>
        <v>0</v>
      </c>
      <c r="AO53" s="45" t="str">
        <f t="shared" si="4"/>
        <v>کره جنوبی</v>
      </c>
      <c r="AP53" s="45">
        <f t="shared" si="5"/>
        <v>0</v>
      </c>
      <c r="AQ53" s="45" t="str">
        <f t="shared" si="6"/>
        <v>کره جنوبی</v>
      </c>
      <c r="AR53" s="45">
        <f t="shared" si="7"/>
        <v>0</v>
      </c>
      <c r="AS53" s="45">
        <f t="shared" si="8"/>
      </c>
      <c r="AT53" s="45">
        <f t="shared" si="9"/>
      </c>
      <c r="AU53" s="45">
        <f t="shared" si="10"/>
      </c>
      <c r="AV53" s="45">
        <f t="shared" si="11"/>
      </c>
      <c r="AW53" s="45" t="str">
        <f t="shared" si="12"/>
        <v>سوئیس</v>
      </c>
      <c r="AX53" s="45">
        <f t="shared" si="13"/>
        <v>0</v>
      </c>
      <c r="AY53" s="45" t="str">
        <f t="shared" si="14"/>
        <v>سوئیس</v>
      </c>
      <c r="AZ53" s="45">
        <f t="shared" si="15"/>
        <v>0</v>
      </c>
      <c r="BA53" s="45" t="str">
        <f t="shared" si="16"/>
        <v>کره جنوبی</v>
      </c>
      <c r="BB53" s="45">
        <f t="shared" si="17"/>
        <v>0</v>
      </c>
      <c r="BC53" s="45" t="str">
        <f t="shared" si="18"/>
        <v>کره جنوبی</v>
      </c>
      <c r="BD53" s="45">
        <f t="shared" si="19"/>
        <v>0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3.5" customHeight="1" thickBot="1">
      <c r="A54" s="38" t="str">
        <f>CONCATENATE(23+IF(GMT&gt;4,1,0)," ",INDEX(T,80,language))</f>
        <v>23 ژوئن</v>
      </c>
      <c r="B54" s="39">
        <f>TIME(19+GMT,0,0)</f>
        <v>0.9166666666666666</v>
      </c>
      <c r="C54" s="34" t="str">
        <f>R52</f>
        <v>توگو</v>
      </c>
      <c r="D54" s="27"/>
      <c r="E54" s="27"/>
      <c r="F54" s="35" t="str">
        <f>R49</f>
        <v>فرانسه</v>
      </c>
      <c r="J54" s="64" t="str">
        <f>CONCATENATE(INDEX(T,40,language)," H")</f>
        <v>گروه H</v>
      </c>
      <c r="K54" s="66" t="str">
        <f>INDEX(T,35,language)</f>
        <v>برد</v>
      </c>
      <c r="L54" s="66" t="str">
        <f>INDEX(T,36,language)</f>
        <v>تساوی</v>
      </c>
      <c r="M54" s="66" t="str">
        <f>INDEX(T,37,language)</f>
        <v>باخت</v>
      </c>
      <c r="N54" s="66" t="str">
        <f>INDEX(T,38,language)</f>
        <v>خورده – زده</v>
      </c>
      <c r="O54" s="74" t="str">
        <f>INDEX(T,39,language)</f>
        <v>امتیاز</v>
      </c>
      <c r="AJ54" s="45">
        <f>VLOOKUP(F54,R7:AC59,12,FALSE)+VLOOKUP(C54,R7:AC59,12,FALSE)</f>
        <v>2</v>
      </c>
      <c r="AK54" s="45" t="str">
        <f t="shared" si="0"/>
        <v>توگو</v>
      </c>
      <c r="AL54" s="45">
        <f t="shared" si="1"/>
        <v>0</v>
      </c>
      <c r="AM54" s="45" t="str">
        <f t="shared" si="2"/>
        <v>توگو</v>
      </c>
      <c r="AN54" s="45">
        <f t="shared" si="3"/>
        <v>0</v>
      </c>
      <c r="AO54" s="45" t="str">
        <f t="shared" si="4"/>
        <v>فرانسه</v>
      </c>
      <c r="AP54" s="45">
        <f t="shared" si="5"/>
        <v>0</v>
      </c>
      <c r="AQ54" s="45" t="str">
        <f t="shared" si="6"/>
        <v>فرانسه</v>
      </c>
      <c r="AR54" s="45">
        <f t="shared" si="7"/>
        <v>0</v>
      </c>
      <c r="AS54" s="45">
        <f t="shared" si="8"/>
      </c>
      <c r="AT54" s="45">
        <f t="shared" si="9"/>
      </c>
      <c r="AU54" s="45">
        <f t="shared" si="10"/>
      </c>
      <c r="AV54" s="45">
        <f t="shared" si="11"/>
      </c>
      <c r="AW54" s="45" t="str">
        <f t="shared" si="12"/>
        <v>توگو</v>
      </c>
      <c r="AX54" s="45">
        <f t="shared" si="13"/>
        <v>0</v>
      </c>
      <c r="AY54" s="45" t="str">
        <f t="shared" si="14"/>
        <v>توگو</v>
      </c>
      <c r="AZ54" s="45">
        <f t="shared" si="15"/>
        <v>0</v>
      </c>
      <c r="BA54" s="45" t="str">
        <f t="shared" si="16"/>
        <v>فرانسه</v>
      </c>
      <c r="BB54" s="45">
        <f t="shared" si="17"/>
        <v>0</v>
      </c>
      <c r="BC54" s="45" t="str">
        <f t="shared" si="18"/>
        <v>فرانسه</v>
      </c>
      <c r="BD54" s="45">
        <f t="shared" si="19"/>
        <v>0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3.5" customHeight="1" thickBot="1">
      <c r="A55" s="22"/>
      <c r="B55" s="17"/>
      <c r="C55" s="9"/>
      <c r="D55" s="11"/>
      <c r="E55" s="11"/>
      <c r="F55" s="5"/>
      <c r="J55" s="65"/>
      <c r="K55" s="67"/>
      <c r="L55" s="67"/>
      <c r="M55" s="67"/>
      <c r="N55" s="67"/>
      <c r="O55" s="75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3.5" customHeight="1">
      <c r="A56" s="56" t="str">
        <f>INDEX(T,42,language)</f>
        <v>مرحله دوم</v>
      </c>
      <c r="B56" s="57"/>
      <c r="C56" s="57"/>
      <c r="D56" s="57"/>
      <c r="E56" s="57"/>
      <c r="F56" s="57"/>
      <c r="G56" s="57"/>
      <c r="H56" s="58"/>
      <c r="J56" s="6" t="str">
        <f>VLOOKUP(4,Q56:X59,2,FALSE)</f>
        <v>اسپانیا</v>
      </c>
      <c r="K56" s="7">
        <f>VLOOKUP(4,Q56:X59,3,FALSE)</f>
        <v>0</v>
      </c>
      <c r="L56" s="7">
        <f>VLOOKUP(4,Q56:X59,4,FALSE)</f>
        <v>0</v>
      </c>
      <c r="M56" s="7">
        <f>VLOOKUP(4,Q56:X59,5,FALSE)</f>
        <v>0</v>
      </c>
      <c r="N56" s="7" t="str">
        <f>CONCATENATE(VLOOKUP(4,Q56:X59,6,FALSE)," - ",VLOOKUP(4,Q56:X59,7,FALSE))</f>
        <v>0 - 0</v>
      </c>
      <c r="O56" s="8">
        <f>VLOOKUP(4,Q56:X59,8,FALSE)</f>
        <v>0</v>
      </c>
      <c r="Q56" s="44">
        <f>IF(Y56&gt;Y56,1,0)+IF(Y56&gt;Y57,1,0)+IF(Y56&gt;Y58,1,0)+IF(Y56&gt;Y59,1,0)+1</f>
        <v>4</v>
      </c>
      <c r="R56" s="45" t="str">
        <f>INDEX(T,31,language)</f>
        <v>اسپانیا</v>
      </c>
      <c r="S56" s="46">
        <f>COUNTIF(AS7:AT54,CONCATENATE(R56,"_win"))</f>
        <v>0</v>
      </c>
      <c r="T56" s="46">
        <f>COUNTIF(AS7:AT54,CONCATENATE(R56,"_draw"))</f>
        <v>0</v>
      </c>
      <c r="U56" s="46">
        <f>COUNTIF(AS7:AT54,CONCATENATE(R56,"_lose"))</f>
        <v>0</v>
      </c>
      <c r="V56" s="46">
        <f>SUMIF(AO7:AO54,CONCATENATE("=",R56),AP7:AP54)+SUMIF(AK7:AK54,CONCATENATE("=",R56),AL7:AL54)</f>
        <v>0</v>
      </c>
      <c r="W56" s="46">
        <f>SUMIF(AQ7:AQ54,CONCATENATE("=",R56),AR7:AR54)+SUMIF(AM7:AM54,CONCATENATE("=",R56),AN7:AN54)</f>
        <v>0</v>
      </c>
      <c r="X56" s="46">
        <f>S56*3+T56</f>
        <v>0</v>
      </c>
      <c r="Y56" s="46">
        <f>0.4+AH56+V56*1000+(V56-W56)*100000+X56*10000000</f>
        <v>0.4</v>
      </c>
      <c r="Z56" s="45">
        <f>IF(COUNTIF(X56:X59,CONCATENATE("=",X56))=1,0,COUNTIF(X56:X59,CONCATENATE("=",X56)))*X56</f>
        <v>0</v>
      </c>
      <c r="AA56" s="45" t="str">
        <f>IF(SUM(S56:U59)=12,J56,INDEX(T,62,language))</f>
        <v>برنده گروه H</v>
      </c>
      <c r="AB56" s="46">
        <f>IF(Z56=Z60,X56,IF(Z57=Z60,X57,IF(Z58=Z60,X58,X59)))</f>
        <v>0</v>
      </c>
      <c r="AC56" s="46">
        <f>IF(X56=AB56,1,0)</f>
        <v>1</v>
      </c>
      <c r="AD56" s="46">
        <f>COUNTIF(AU7:AV54,CONCATENATE(R56,"_win"))</f>
        <v>0</v>
      </c>
      <c r="AE56" s="46">
        <f>SUMIF(BA7:BA54,CONCATENATE("=",R56),BB7:BB54)+SUMIF(AW7:AW54,CONCATENATE("=",R56),AX7:AX54)</f>
        <v>0</v>
      </c>
      <c r="AF56" s="46">
        <f>SUMIF(BC7:BC54,CONCATENATE("=",R56),BD7:BD54)+SUMIF(AY7:AY54,CONCATENATE("=",R56),AZ7:AZ54)</f>
        <v>0</v>
      </c>
      <c r="AG56" s="45">
        <f>300*AD56+(AE56-AF56)*10+AE56</f>
        <v>0</v>
      </c>
      <c r="AH56" s="45">
        <f>IF(AG56&gt;0,AG56,0)</f>
        <v>0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3.5" customHeight="1" thickBot="1">
      <c r="A57" s="59"/>
      <c r="B57" s="60"/>
      <c r="C57" s="60"/>
      <c r="D57" s="60"/>
      <c r="E57" s="60"/>
      <c r="F57" s="60"/>
      <c r="G57" s="60"/>
      <c r="H57" s="61"/>
      <c r="J57" s="10" t="str">
        <f>VLOOKUP(3,Q56:X59,2,FALSE)</f>
        <v>اوکراین</v>
      </c>
      <c r="K57" s="11">
        <f>VLOOKUP(3,Q56:X59,3,FALSE)</f>
        <v>0</v>
      </c>
      <c r="L57" s="11">
        <f>VLOOKUP(3,Q56:X59,4,FALSE)</f>
        <v>0</v>
      </c>
      <c r="M57" s="11">
        <f>VLOOKUP(3,Q56:X59,5,FALSE)</f>
        <v>0</v>
      </c>
      <c r="N57" s="11" t="str">
        <f>CONCATENATE(VLOOKUP(3,Q56:X59,6,FALSE)," - ",VLOOKUP(3,Q56:X59,7,FALSE))</f>
        <v>0 - 0</v>
      </c>
      <c r="O57" s="12">
        <f>VLOOKUP(3,Q56:X59,8,FALSE)</f>
        <v>0</v>
      </c>
      <c r="Q57" s="44">
        <f>IF(Y57&gt;Y56,1,0)+IF(Y57&gt;Y57,1,0)+IF(Y57&gt;Y58,1,0)+IF(Y57&gt;Y59,1,0)+1</f>
        <v>3</v>
      </c>
      <c r="R57" s="45" t="str">
        <f>INDEX(T,32,language)</f>
        <v>اوکراین</v>
      </c>
      <c r="S57" s="46">
        <f>COUNTIF(AS7:AT54,CONCATENATE(R57,"_win"))</f>
        <v>0</v>
      </c>
      <c r="T57" s="46">
        <f>COUNTIF(AS7:AT54,CONCATENATE(R57,"_draw"))</f>
        <v>0</v>
      </c>
      <c r="U57" s="46">
        <f>COUNTIF(AS7:AT54,CONCATENATE(R57,"_lose"))</f>
        <v>0</v>
      </c>
      <c r="V57" s="46">
        <f>SUMIF(AO7:AO54,CONCATENATE("=",R57),AP7:AP54)+SUMIF(AK7:AK54,CONCATENATE("=",R57),AL7:AL54)</f>
        <v>0</v>
      </c>
      <c r="W57" s="46">
        <f>SUMIF(AQ7:AQ54,CONCATENATE("=",R57),AR7:AR54)+SUMIF(AM7:AM54,CONCATENATE("=",R57),AN7:AN54)</f>
        <v>0</v>
      </c>
      <c r="X57" s="46">
        <f>S57*3+T57</f>
        <v>0</v>
      </c>
      <c r="Y57" s="46">
        <f>0.3+AH57+V57*1000+(V57-W57)*100000+X57*10000000</f>
        <v>0.3</v>
      </c>
      <c r="Z57" s="45">
        <f>IF(COUNTIF(X56:X59,CONCATENATE("=",X57))=1,0,COUNTIF(X56:X59,CONCATENATE("=",X57)))*X57</f>
        <v>0</v>
      </c>
      <c r="AA57" s="45" t="str">
        <f>IF(SUM(S56:U59)=12,J57,INDEX(T,63,language))</f>
        <v>دوم گروه H</v>
      </c>
      <c r="AC57" s="46">
        <f>IF(X57=AB56,1,0)</f>
        <v>1</v>
      </c>
      <c r="AD57" s="46">
        <f>COUNTIF(AU7:AV54,CONCATENATE(R57,"_win"))</f>
        <v>0</v>
      </c>
      <c r="AE57" s="46">
        <f>SUMIF(BA7:BA54,CONCATENATE("=",R57),BB7:BB54)+SUMIF(AW7:AW54,CONCATENATE("=",R57),AX7:AX54)</f>
        <v>0</v>
      </c>
      <c r="AF57" s="46">
        <f>SUMIF(BC7:BC54,CONCATENATE("=",R57),BD7:BD54)+SUMIF(AY7:AY54,CONCATENATE("=",R57),AZ7:AZ54)</f>
        <v>0</v>
      </c>
      <c r="AG57" s="45">
        <f>300*AD57+(AE57-AF57)*10+AE57</f>
        <v>0</v>
      </c>
      <c r="AH57" s="45">
        <f>IF(AG57&gt;0,AG57,0)</f>
        <v>0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3.5" customHeight="1" thickBot="1">
      <c r="A58" s="42" t="str">
        <f>CONCATENATE(24+IF(GMT&gt;8,1,0)," ",INDEX(T,80,language))</f>
        <v>24 ژوئن</v>
      </c>
      <c r="B58" s="39">
        <f>TIME(15+GMT,0,0)</f>
        <v>0.75</v>
      </c>
      <c r="C58" s="37" t="str">
        <f>AA7</f>
        <v>برنده گروه A</v>
      </c>
      <c r="D58" s="19"/>
      <c r="E58" s="19"/>
      <c r="F58" s="36" t="str">
        <f>AA15</f>
        <v>دوم گروه B</v>
      </c>
      <c r="G58" s="19"/>
      <c r="H58" s="19"/>
      <c r="J58" s="10" t="str">
        <f>VLOOKUP(2,Q56:X59,2,FALSE)</f>
        <v>تونس</v>
      </c>
      <c r="K58" s="11">
        <f>VLOOKUP(2,Q56:X59,3,FALSE)</f>
        <v>0</v>
      </c>
      <c r="L58" s="11">
        <f>VLOOKUP(2,Q56:X59,4,FALSE)</f>
        <v>0</v>
      </c>
      <c r="M58" s="11">
        <f>VLOOKUP(2,Q56:X59,5,FALSE)</f>
        <v>0</v>
      </c>
      <c r="N58" s="11" t="str">
        <f>CONCATENATE(VLOOKUP(2,Q56:X59,6,FALSE)," - ",VLOOKUP(2,Q56:X59,7,FALSE))</f>
        <v>0 - 0</v>
      </c>
      <c r="O58" s="12">
        <f>VLOOKUP(2,Q56:X59,8,FALSE)</f>
        <v>0</v>
      </c>
      <c r="Q58" s="44">
        <f>IF(Y58&gt;Y56,1,0)+IF(Y58&gt;Y57,1,0)+IF(Y58&gt;Y58,1,0)+IF(Y58&gt;Y59,1,0)+1</f>
        <v>2</v>
      </c>
      <c r="R58" s="45" t="str">
        <f>INDEX(T,33,language)</f>
        <v>تونس</v>
      </c>
      <c r="S58" s="46">
        <f>COUNTIF(AS7:AT54,CONCATENATE(R58,"_win"))</f>
        <v>0</v>
      </c>
      <c r="T58" s="46">
        <f>COUNTIF(AS7:AT54,CONCATENATE(R58,"_draw"))</f>
        <v>0</v>
      </c>
      <c r="U58" s="46">
        <f>COUNTIF(AS7:AT54,CONCATENATE(R58,"_lose"))</f>
        <v>0</v>
      </c>
      <c r="V58" s="46">
        <f>SUMIF(AO7:AO54,CONCATENATE("=",R58),AP7:AP54)+SUMIF(AK7:AK54,CONCATENATE("=",R58),AL7:AL54)</f>
        <v>0</v>
      </c>
      <c r="W58" s="46">
        <f>SUMIF(AQ7:AQ54,CONCATENATE("=",R58),AR7:AR54)+SUMIF(AM7:AM54,CONCATENATE("=",R58),AN7:AN54)</f>
        <v>0</v>
      </c>
      <c r="X58" s="46">
        <f>S58*3+T58</f>
        <v>0</v>
      </c>
      <c r="Y58" s="46">
        <f>0.2+AH58+V58*1000+(V58-W58)*100000+X58*10000000</f>
        <v>0.2</v>
      </c>
      <c r="Z58" s="45">
        <f>IF(COUNTIF(X56:X59,CONCATENATE("=",X58))=1,0,COUNTIF(X56:X59,CONCATENATE("=",X58)))*X58</f>
        <v>0</v>
      </c>
      <c r="AC58" s="46">
        <f>IF(X58=AB56,1,0)</f>
        <v>1</v>
      </c>
      <c r="AD58" s="46">
        <f>COUNTIF(AU7:AV54,CONCATENATE(R58,"_win"))</f>
        <v>0</v>
      </c>
      <c r="AE58" s="46">
        <f>SUMIF(BA7:BA54,CONCATENATE("=",R58),BB7:BB54)+SUMIF(AW7:AW54,CONCATENATE("=",R58),AX7:AX54)</f>
        <v>0</v>
      </c>
      <c r="AF58" s="46">
        <f>SUMIF(BC7:BC54,CONCATENATE("=",R58),BD7:BD54)+SUMIF(AY7:AY54,CONCATENATE("=",R58),AZ7:AZ54)</f>
        <v>0</v>
      </c>
      <c r="AG58" s="45">
        <f>300*AD58+(AE58-AF58)*10+AE58</f>
        <v>0</v>
      </c>
      <c r="AH58" s="45">
        <f>IF(AG58&gt;0,AG58,0)</f>
        <v>0</v>
      </c>
      <c r="AK58" s="45" t="str">
        <f>IF(AL58="",INDEX(T,64,language),AL58)</f>
        <v>برنده مرحله دوم 1</v>
      </c>
      <c r="AL58" s="45">
        <f aca="true" t="shared" si="20" ref="AL58:AL65">IF(D58="","",IF(E58="","",IF(D58&gt;E58,C58,IF(D58&lt;E58,F58,AM58))))</f>
      </c>
      <c r="AM58" s="45">
        <f>IF(G58="","",IF(H58="","",IF(G58&gt;H58,C58,IF(G58&lt;H58,F58,""))))</f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3.5" customHeight="1" thickBot="1">
      <c r="A59" s="42" t="str">
        <f>CONCATENATE(24+IF(GMT&gt;4,1,0)," ",INDEX(T,80,language))</f>
        <v>24 ژوئن</v>
      </c>
      <c r="B59" s="39">
        <f>TIME(19+GMT,0,0)</f>
        <v>0.9166666666666666</v>
      </c>
      <c r="C59" s="37" t="str">
        <f>AA21</f>
        <v>برنده گروه C</v>
      </c>
      <c r="D59" s="19"/>
      <c r="E59" s="19"/>
      <c r="F59" s="36" t="str">
        <f>AA29</f>
        <v>دوم گروه D</v>
      </c>
      <c r="G59" s="19"/>
      <c r="H59" s="19"/>
      <c r="J59" s="13" t="str">
        <f>VLOOKUP(1,Q56:X59,2,FALSE)</f>
        <v>عربستان سعودی</v>
      </c>
      <c r="K59" s="14">
        <f>VLOOKUP(1,Q56:X59,3,FALSE)</f>
        <v>0</v>
      </c>
      <c r="L59" s="14">
        <f>VLOOKUP(1,Q56:X59,4,FALSE)</f>
        <v>0</v>
      </c>
      <c r="M59" s="14">
        <f>VLOOKUP(1,Q56:X59,5,FALSE)</f>
        <v>0</v>
      </c>
      <c r="N59" s="14" t="str">
        <f>CONCATENATE(VLOOKUP(1,Q56:X59,6,FALSE)," - ",VLOOKUP(1,Q56:X59,7,FALSE))</f>
        <v>0 - 0</v>
      </c>
      <c r="O59" s="15">
        <f>VLOOKUP(1,Q56:X59,8,FALSE)</f>
        <v>0</v>
      </c>
      <c r="Q59" s="44">
        <f>IF(Y59&gt;Y56,1,0)+IF(Y59&gt;Y57,1,0)+IF(Y59&gt;Y58,1,0)+IF(Y59&gt;Y59,1,0)+1</f>
        <v>1</v>
      </c>
      <c r="R59" s="45" t="str">
        <f>INDEX(T,34,language)</f>
        <v>عربستان سعودی</v>
      </c>
      <c r="S59" s="46">
        <f>COUNTIF(AS7:AT54,CONCATENATE(R59,"_win"))</f>
        <v>0</v>
      </c>
      <c r="T59" s="46">
        <f>COUNTIF(AS7:AT54,CONCATENATE(R59,"_draw"))</f>
        <v>0</v>
      </c>
      <c r="U59" s="46">
        <f>COUNTIF(AS7:AT54,CONCATENATE(R59,"_lose"))</f>
        <v>0</v>
      </c>
      <c r="V59" s="46">
        <f>SUMIF(AO7:AO54,CONCATENATE("=",R59),AP7:AP54)+SUMIF(AK7:AK54,CONCATENATE("=",R59),AL7:AL54)</f>
        <v>0</v>
      </c>
      <c r="W59" s="46">
        <f>SUMIF(AQ7:AQ54,CONCATENATE("=",R59),AR7:AR54)+SUMIF(AM7:AM54,CONCATENATE("=",R59),AN7:AN54)</f>
        <v>0</v>
      </c>
      <c r="X59" s="46">
        <f>S59*3+T59</f>
        <v>0</v>
      </c>
      <c r="Y59" s="46">
        <f>0.1+AH59+V59*1000+(V59-W59)*100000+X59*10000000</f>
        <v>0.1</v>
      </c>
      <c r="Z59" s="45">
        <f>IF(COUNTIF(X56:X59,CONCATENATE("=",X59))=1,0,COUNTIF(X56:X59,CONCATENATE("=",X59)))*X59</f>
        <v>0</v>
      </c>
      <c r="AC59" s="46">
        <f>IF(X59=AB56,1,0)</f>
        <v>1</v>
      </c>
      <c r="AD59" s="46">
        <f>COUNTIF(AU7:AV54,CONCATENATE(R59,"_win"))</f>
        <v>0</v>
      </c>
      <c r="AE59" s="46">
        <f>SUMIF(BA7:BA54,CONCATENATE("=",R59),BB7:BB54)+SUMIF(AW7:AW54,CONCATENATE("=",R59),AX7:AX54)</f>
        <v>0</v>
      </c>
      <c r="AF59" s="46">
        <f>SUMIF(BC7:BC54,CONCATENATE("=",R59),BD7:BD54)+SUMIF(AY7:AY54,CONCATENATE("=",R59),AZ7:AZ54)</f>
        <v>0</v>
      </c>
      <c r="AG59" s="45">
        <f>300*AD59+(AE59-AF59)*10+AE59</f>
        <v>0</v>
      </c>
      <c r="AH59" s="45">
        <f>IF(AG59&gt;0,AG59,0)</f>
        <v>0</v>
      </c>
      <c r="AK59" s="45" t="str">
        <f>IF(AL59="",INDEX(T,65,language),AL59)</f>
        <v>برنده مرحله دوم 2</v>
      </c>
      <c r="AL59" s="45">
        <f t="shared" si="20"/>
      </c>
      <c r="AM59" s="45">
        <f aca="true" t="shared" si="21" ref="AM59:AM65">IF(G59="","",IF(H59="","",IF(G59&gt;H59,C59,IF(G59&lt;H59,F59,""))))</f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3.5" customHeight="1" thickBot="1">
      <c r="A60" s="42" t="str">
        <f>CONCATENATE(25+IF(GMT&gt;8,1,0)," ",INDEX(T,80,language))</f>
        <v>25 ژوئن</v>
      </c>
      <c r="B60" s="39">
        <f>TIME(15+GMT,0,0)</f>
        <v>0.75</v>
      </c>
      <c r="C60" s="37" t="str">
        <f>AA14</f>
        <v>برنده گروه B</v>
      </c>
      <c r="D60" s="19"/>
      <c r="E60" s="19"/>
      <c r="F60" s="36" t="str">
        <f>AA8</f>
        <v>دوم گروه A</v>
      </c>
      <c r="G60" s="19"/>
      <c r="H60" s="19"/>
      <c r="Z60" s="45">
        <f>MAX(Z56:Z59)</f>
        <v>0</v>
      </c>
      <c r="AK60" s="45" t="str">
        <f>IF(AL60="",INDEX(T,66,language),AL60)</f>
        <v>برنده مرحله دوم 3</v>
      </c>
      <c r="AL60" s="45">
        <f t="shared" si="20"/>
      </c>
      <c r="AM60" s="45">
        <f t="shared" si="21"/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3.5" customHeight="1" thickBot="1">
      <c r="A61" s="42" t="str">
        <f>CONCATENATE(25+IF(GMT&gt;4,1,0)," ",INDEX(T,80,language))</f>
        <v>25 ژوئن</v>
      </c>
      <c r="B61" s="39">
        <f>TIME(19+GMT,0,0)</f>
        <v>0.9166666666666666</v>
      </c>
      <c r="C61" s="37" t="str">
        <f>AA28</f>
        <v>برنده گروه D</v>
      </c>
      <c r="D61" s="19"/>
      <c r="E61" s="19"/>
      <c r="F61" s="36" t="str">
        <f>AA22</f>
        <v>دوم گروه C</v>
      </c>
      <c r="G61" s="19"/>
      <c r="H61" s="19"/>
      <c r="AK61" s="45" t="str">
        <f>IF(AL61="",INDEX(T,67,language),AL61)</f>
        <v>برنده مرحله دوم 4</v>
      </c>
      <c r="AL61" s="45">
        <f t="shared" si="20"/>
      </c>
      <c r="AM61" s="45">
        <f t="shared" si="21"/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3.5" customHeight="1" thickBot="1">
      <c r="A62" s="42" t="str">
        <f>CONCATENATE(26+IF(GMT&gt;8,1,0)," ",INDEX(T,80,language))</f>
        <v>26 ژوئن</v>
      </c>
      <c r="B62" s="39">
        <f>TIME(15+GMT,0,0)</f>
        <v>0.75</v>
      </c>
      <c r="C62" s="37" t="str">
        <f>AA35</f>
        <v>برنده گروه E</v>
      </c>
      <c r="D62" s="19"/>
      <c r="E62" s="19"/>
      <c r="F62" s="36" t="str">
        <f>AA43</f>
        <v>دوم گروه F</v>
      </c>
      <c r="G62" s="19"/>
      <c r="H62" s="19"/>
      <c r="AK62" s="45" t="str">
        <f>IF(AL62="",INDEX(T,68,language),AL62)</f>
        <v>برنده مرحله دوم 5</v>
      </c>
      <c r="AL62" s="45">
        <f t="shared" si="20"/>
      </c>
      <c r="AM62" s="45">
        <f t="shared" si="21"/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3.5" customHeight="1" thickBot="1">
      <c r="A63" s="42" t="str">
        <f>CONCATENATE(26+IF(GMT&gt;4,1,0)," ",INDEX(T,80,language))</f>
        <v>26 ژوئن</v>
      </c>
      <c r="B63" s="39">
        <f>TIME(19+GMT,0,0)</f>
        <v>0.9166666666666666</v>
      </c>
      <c r="C63" s="37" t="str">
        <f>AA49</f>
        <v>برنده گروه G</v>
      </c>
      <c r="D63" s="19"/>
      <c r="E63" s="19"/>
      <c r="F63" s="36" t="str">
        <f>AA57</f>
        <v>دوم گروه H</v>
      </c>
      <c r="G63" s="19"/>
      <c r="H63" s="19"/>
      <c r="AK63" s="45" t="str">
        <f>IF(AL63="",INDEX(T,69,language),AL63)</f>
        <v>برنده مرحله دوم 6</v>
      </c>
      <c r="AL63" s="45">
        <f t="shared" si="20"/>
      </c>
      <c r="AM63" s="45">
        <f t="shared" si="21"/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3.5" customHeight="1" thickBot="1">
      <c r="A64" s="42" t="str">
        <f>CONCATENATE(27+IF(GMT&gt;8,1,0)," ",INDEX(T,80,language))</f>
        <v>27 ژوئن</v>
      </c>
      <c r="B64" s="39">
        <f>TIME(15+GMT,0,0)</f>
        <v>0.75</v>
      </c>
      <c r="C64" s="37" t="str">
        <f>AA42</f>
        <v>برنده گروه F</v>
      </c>
      <c r="D64" s="19"/>
      <c r="E64" s="19"/>
      <c r="F64" s="36" t="str">
        <f>AA36</f>
        <v>دوم گروه E</v>
      </c>
      <c r="G64" s="19"/>
      <c r="H64" s="19"/>
      <c r="AK64" s="45" t="str">
        <f>IF(AL64="",INDEX(T,70,language),AL64)</f>
        <v>برنده مرحله دوم 7</v>
      </c>
      <c r="AL64" s="45">
        <f t="shared" si="20"/>
      </c>
      <c r="AM64" s="45">
        <f t="shared" si="21"/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3.5" customHeight="1" thickBot="1">
      <c r="A65" s="42" t="str">
        <f>CONCATENATE(27+IF(GMT&gt;4,1,0)," ",INDEX(T,80,language))</f>
        <v>27 ژوئن</v>
      </c>
      <c r="B65" s="39">
        <f>TIME(19+GMT,0,0)</f>
        <v>0.9166666666666666</v>
      </c>
      <c r="C65" s="37" t="str">
        <f>AA56</f>
        <v>برنده گروه H</v>
      </c>
      <c r="D65" s="19"/>
      <c r="E65" s="19"/>
      <c r="F65" s="36" t="str">
        <f>AA50</f>
        <v>دوم گروه G</v>
      </c>
      <c r="G65" s="19"/>
      <c r="H65" s="19"/>
      <c r="AK65" s="45" t="str">
        <f>IF(AL65="",INDEX(T,71,language),AL65)</f>
        <v>برنده مرحله دوم 8</v>
      </c>
      <c r="AL65" s="45">
        <f t="shared" si="20"/>
      </c>
      <c r="AM65" s="45">
        <f t="shared" si="21"/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83:104" ht="13.5" customHeight="1" thickBot="1"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3.5" customHeight="1">
      <c r="A67" s="56" t="str">
        <f>INDEX(T,43,language)</f>
        <v>یک چهارم نهائی</v>
      </c>
      <c r="B67" s="57"/>
      <c r="C67" s="57"/>
      <c r="D67" s="57"/>
      <c r="E67" s="57"/>
      <c r="F67" s="57"/>
      <c r="G67" s="57"/>
      <c r="H67" s="58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3.5" customHeight="1" thickBot="1">
      <c r="A68" s="59"/>
      <c r="B68" s="60"/>
      <c r="C68" s="60"/>
      <c r="D68" s="60"/>
      <c r="E68" s="60"/>
      <c r="F68" s="60"/>
      <c r="G68" s="60"/>
      <c r="H68" s="6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3.5" customHeight="1" thickBot="1">
      <c r="A69" s="42" t="str">
        <f>CONCATENATE(IF(GMT&gt;8,1,30)," ",IF(GMT&gt;8,INDEX(T,81,language),INDEX(T,80,language)))</f>
        <v>30 ژوئن</v>
      </c>
      <c r="B69" s="39">
        <f>TIME(15+GMT,0,0)</f>
        <v>0.75</v>
      </c>
      <c r="C69" s="37" t="str">
        <f>AK58</f>
        <v>برنده مرحله دوم 1</v>
      </c>
      <c r="D69" s="19"/>
      <c r="E69" s="19"/>
      <c r="F69" s="36" t="str">
        <f>AK59</f>
        <v>برنده مرحله دوم 2</v>
      </c>
      <c r="G69" s="19"/>
      <c r="H69" s="19"/>
      <c r="AK69" s="45" t="str">
        <f>IF(AL69="",INDEX(T,72,language),AL69)</f>
        <v>برنده یک چهارم نهائی 1</v>
      </c>
      <c r="AL69" s="45">
        <f>IF(D69="","",IF(E69="","",IF(D69&gt;E69,C69,IF(D69&lt;E69,F69,AM69))))</f>
      </c>
      <c r="AM69" s="45">
        <f>IF(G69="","",IF(H69="","",IF(G69&gt;H69,C69,IF(G69&lt;H69,F69,""))))</f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3.5" customHeight="1" thickBot="1">
      <c r="A70" s="42" t="str">
        <f>CONCATENATE(IF(GMT&gt;4,1,30)," ",IF(GMT&gt;4,INDEX(T,81,language),INDEX(T,80,language)))</f>
        <v>30 ژوئن</v>
      </c>
      <c r="B70" s="39">
        <f>TIME(19+GMT,0,0)</f>
        <v>0.9166666666666666</v>
      </c>
      <c r="C70" s="37" t="str">
        <f>AK62</f>
        <v>برنده مرحله دوم 5</v>
      </c>
      <c r="D70" s="19"/>
      <c r="E70" s="19"/>
      <c r="F70" s="36" t="str">
        <f>AK63</f>
        <v>برنده مرحله دوم 6</v>
      </c>
      <c r="G70" s="19"/>
      <c r="H70" s="19"/>
      <c r="AK70" s="45" t="str">
        <f>IF(AL70="",INDEX(T,73,language),AL70)</f>
        <v>برنده یک چهارم نهائی 2</v>
      </c>
      <c r="AL70" s="45">
        <f>IF(D70="","",IF(E70="","",IF(D70&gt;E70,C70,IF(D70&lt;E70,F70,AM70))))</f>
      </c>
      <c r="AM70" s="45">
        <f>IF(G70="","",IF(H70="","",IF(G70&gt;H70,C70,IF(G70&lt;H70,F70,""))))</f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3.5" customHeight="1" thickBot="1">
      <c r="A71" s="42" t="str">
        <f>CONCATENATE(1+IF(GMT&gt;8,1,0)," ",INDEX(T,81,language))</f>
        <v>1 جولای</v>
      </c>
      <c r="B71" s="39">
        <f>TIME(15+GMT,0,0)</f>
        <v>0.75</v>
      </c>
      <c r="C71" s="37" t="str">
        <f>AK60</f>
        <v>برنده مرحله دوم 3</v>
      </c>
      <c r="D71" s="19"/>
      <c r="E71" s="19"/>
      <c r="F71" s="36" t="str">
        <f>AK61</f>
        <v>برنده مرحله دوم 4</v>
      </c>
      <c r="G71" s="19"/>
      <c r="H71" s="19"/>
      <c r="AK71" s="45" t="str">
        <f>IF(AL71="",INDEX(T,74,language),AL71)</f>
        <v>برنده یک چهارم نهائی 3</v>
      </c>
      <c r="AL71" s="45">
        <f>IF(D71="","",IF(E71="","",IF(D71&gt;E71,C71,IF(D71&lt;E71,F71,AM71))))</f>
      </c>
      <c r="AM71" s="45">
        <f>IF(G71="","",IF(H71="","",IF(G71&gt;H71,C71,IF(G71&lt;H71,F71,""))))</f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3.5" customHeight="1" thickBot="1">
      <c r="A72" s="42" t="str">
        <f>CONCATENATE(1+IF(GMT&gt;4,1,0)," ",INDEX(T,81,language))</f>
        <v>1 جولای</v>
      </c>
      <c r="B72" s="39">
        <f>TIME(19+GMT,0,0)</f>
        <v>0.9166666666666666</v>
      </c>
      <c r="C72" s="37" t="str">
        <f>AK64</f>
        <v>برنده مرحله دوم 7</v>
      </c>
      <c r="D72" s="19"/>
      <c r="E72" s="19"/>
      <c r="F72" s="36" t="str">
        <f>AK65</f>
        <v>برنده مرحله دوم 8</v>
      </c>
      <c r="G72" s="19"/>
      <c r="H72" s="19"/>
      <c r="AK72" s="45" t="str">
        <f>IF(AL72="",INDEX(T,75,language),AL72)</f>
        <v>برنده یک چهارم نهائی 4</v>
      </c>
      <c r="AL72" s="45">
        <f>IF(D72="","",IF(E72="","",IF(D72&gt;E72,C72,IF(D72&lt;E72,F72,AM72))))</f>
      </c>
      <c r="AM72" s="45">
        <f>IF(G72="","",IF(H72="","",IF(G72&gt;H72,C72,IF(G72&lt;H72,F72,""))))</f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83:104" ht="13.5" customHeight="1" thickBot="1"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3.5" customHeight="1">
      <c r="A74" s="56" t="str">
        <f>INDEX(T,44,language)</f>
        <v>نیمه نهائی</v>
      </c>
      <c r="B74" s="57"/>
      <c r="C74" s="57"/>
      <c r="D74" s="57"/>
      <c r="E74" s="57"/>
      <c r="F74" s="57"/>
      <c r="G74" s="57"/>
      <c r="H74" s="58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3.5" customHeight="1" thickBot="1">
      <c r="A75" s="59"/>
      <c r="B75" s="60"/>
      <c r="C75" s="60"/>
      <c r="D75" s="60"/>
      <c r="E75" s="60"/>
      <c r="F75" s="60"/>
      <c r="G75" s="60"/>
      <c r="H75" s="6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3.5" customHeight="1" thickBot="1">
      <c r="A76" s="42" t="str">
        <f>CONCATENATE(4+IF(GMT&gt;4,1,0)," ",INDEX(T,81,language))</f>
        <v>4 جولای</v>
      </c>
      <c r="B76" s="39">
        <f>TIME(19+GMT,0,0)</f>
        <v>0.9166666666666666</v>
      </c>
      <c r="C76" s="37" t="str">
        <f>AK69</f>
        <v>برنده یک چهارم نهائی 1</v>
      </c>
      <c r="D76" s="19"/>
      <c r="E76" s="19"/>
      <c r="F76" s="36" t="str">
        <f>AK70</f>
        <v>برنده یک چهارم نهائی 2</v>
      </c>
      <c r="G76" s="19"/>
      <c r="H76" s="19"/>
      <c r="AK76" s="45" t="str">
        <f>IF(AL76="",INDEX(T,76,language),AL76)</f>
        <v>برنده نیمه نهائی 1</v>
      </c>
      <c r="AL76" s="45">
        <f>IF(D76="","",IF(E76="","",IF(D76&gt;E76,C76,IF(D76&lt;E76,F76,AO76))))</f>
      </c>
      <c r="AM76" s="45" t="str">
        <f>IF(AN76="",INDEX(T,78,language),AN76)</f>
        <v>بازنده نیمه نهائی 1</v>
      </c>
      <c r="AN76" s="45">
        <f>IF(D76="","",IF(E76="","",IF(D76&gt;E76,F76,IF(D76&lt;E76,C76,AP76))))</f>
      </c>
      <c r="AO76" s="45">
        <f>IF(G76="","",IF(H76="","",IF(G76&gt;H76,C76,IF(G76&lt;H76,F76,""))))</f>
      </c>
      <c r="AP76" s="45">
        <f>IF(G76="","",IF(H76="","",IF(G76&gt;H76,F76,IF(G76&lt;H76,C76,""))))</f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3.5" customHeight="1" thickBot="1">
      <c r="A77" s="42" t="str">
        <f>CONCATENATE(5+IF(GMT&gt;4,1,0)," ",INDEX(T,81,language))</f>
        <v>5 جولای</v>
      </c>
      <c r="B77" s="39">
        <f>TIME(19+GMT,0,0)</f>
        <v>0.9166666666666666</v>
      </c>
      <c r="C77" s="37" t="str">
        <f>AK71</f>
        <v>برنده یک چهارم نهائی 3</v>
      </c>
      <c r="D77" s="19"/>
      <c r="E77" s="19"/>
      <c r="F77" s="36" t="str">
        <f>AK72</f>
        <v>برنده یک چهارم نهائی 4</v>
      </c>
      <c r="G77" s="19"/>
      <c r="H77" s="19"/>
      <c r="AK77" s="45" t="str">
        <f>IF(AL77="",INDEX(T,77,language),AL77)</f>
        <v>برنده نیمه نهائی 2</v>
      </c>
      <c r="AL77" s="45">
        <f>IF(D77="","",IF(E77="","",IF(D77&gt;E77,C77,IF(D77&lt;E77,F77,AO77))))</f>
      </c>
      <c r="AM77" s="45" t="str">
        <f>IF(AN77="",INDEX(T,79,language),AN77)</f>
        <v>بازنده نیمه نهائی 2</v>
      </c>
      <c r="AN77" s="45">
        <f>IF(D77="","",IF(E77="","",IF(D77&gt;E77,F77,IF(D77&lt;E77,C77,AP77))))</f>
      </c>
      <c r="AO77" s="45">
        <f>IF(G77="","",IF(H77="","",IF(G77&gt;H77,C77,IF(G77&lt;H77,F77,""))))</f>
      </c>
      <c r="AP77" s="45">
        <f>IF(G77="","",IF(H77="","",IF(G77&gt;H77,F77,IF(G77&lt;H77,C77,""))))</f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83:104" ht="13.5" customHeight="1" thickBot="1"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3.5" customHeight="1">
      <c r="A79" s="56" t="str">
        <f>INDEX(T,45,language)</f>
        <v>بازی رده بندی</v>
      </c>
      <c r="B79" s="57"/>
      <c r="C79" s="57"/>
      <c r="D79" s="57"/>
      <c r="E79" s="57"/>
      <c r="F79" s="57"/>
      <c r="G79" s="57"/>
      <c r="H79" s="58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3.5" customHeight="1" thickBot="1">
      <c r="A80" s="59"/>
      <c r="B80" s="60"/>
      <c r="C80" s="60"/>
      <c r="D80" s="60"/>
      <c r="E80" s="60"/>
      <c r="F80" s="60"/>
      <c r="G80" s="60"/>
      <c r="H80" s="6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3.5" customHeight="1" thickBot="1">
      <c r="A81" s="42" t="str">
        <f>CONCATENATE(8+IF(GMT&gt;4,1,0)," ",INDEX(T,81,language))</f>
        <v>8 جولای</v>
      </c>
      <c r="B81" s="39">
        <f>TIME(19+GMT,0,0)</f>
        <v>0.9166666666666666</v>
      </c>
      <c r="C81" s="37" t="str">
        <f>AM76</f>
        <v>بازنده نیمه نهائی 1</v>
      </c>
      <c r="D81" s="19"/>
      <c r="E81" s="19"/>
      <c r="F81" s="36" t="str">
        <f>AM77</f>
        <v>بازنده نیمه نهائی 2</v>
      </c>
      <c r="G81" s="19"/>
      <c r="H81" s="19"/>
      <c r="AK81" s="45" t="str">
        <f>IF(AL81="","Third Place",AL81)</f>
        <v>Third Place</v>
      </c>
      <c r="AL81" s="45">
        <f>IF(D81="","",IF(E81="","",IF(D81&gt;E81,C81,IF(D81&lt;E81,F81,AM81))))</f>
      </c>
      <c r="AM81" s="45">
        <f>IF(G81="","",IF(H81="","",IF(G81&gt;H81,C81,IF(G81&lt;H81,F81,""))))</f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83:104" ht="13.5" customHeight="1" thickBot="1"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3.5" customHeight="1">
      <c r="A83" s="56" t="str">
        <f>INDEX(T,46,language)</f>
        <v>پایانی</v>
      </c>
      <c r="B83" s="57"/>
      <c r="C83" s="57"/>
      <c r="D83" s="57"/>
      <c r="E83" s="57"/>
      <c r="F83" s="57"/>
      <c r="G83" s="57"/>
      <c r="H83" s="58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3.5" customHeight="1" thickBot="1">
      <c r="A84" s="59"/>
      <c r="B84" s="60"/>
      <c r="C84" s="60"/>
      <c r="D84" s="60"/>
      <c r="E84" s="60"/>
      <c r="F84" s="60"/>
      <c r="G84" s="60"/>
      <c r="H84" s="6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3.5" customHeight="1" thickBot="1">
      <c r="A85" s="42" t="str">
        <f>CONCATENATE(9+IF(GMT&gt;5,1,0)," ",INDEX(T,81,language))</f>
        <v>9 جولای</v>
      </c>
      <c r="B85" s="39">
        <f>TIME(18+GMT,0,0)</f>
        <v>0.875</v>
      </c>
      <c r="C85" s="37" t="str">
        <f>AK76</f>
        <v>برنده نیمه نهائی 1</v>
      </c>
      <c r="D85" s="19"/>
      <c r="E85" s="19"/>
      <c r="F85" s="36" t="str">
        <f>AK77</f>
        <v>برنده نیمه نهائی 2</v>
      </c>
      <c r="G85" s="19"/>
      <c r="H85" s="19"/>
      <c r="AK85" s="45">
        <f>IF(AL85="","",AL85)</f>
      </c>
      <c r="AL85" s="45">
        <f>IF(D85="","",IF(E85="","",IF(D85&gt;E85,C85,IF(D85&lt;E85,F85,AM85))))</f>
      </c>
      <c r="AM85" s="45">
        <f>IF(G85="","",IF(H85="","",IF(G85&gt;H85,C85,IF(G85&lt;H85,F85,""))))</f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3.5" thickBot="1">
      <c r="A86" s="22"/>
      <c r="B86" s="18"/>
      <c r="C86" s="9"/>
      <c r="D86" s="11"/>
      <c r="E86" s="11"/>
      <c r="F86" s="5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21" customHeight="1" thickTop="1">
      <c r="A87" s="62" t="str">
        <f>INDEX(T,47,language)</f>
        <v>قهرمان جهان 2006</v>
      </c>
      <c r="B87" s="62"/>
      <c r="C87" s="62"/>
      <c r="D87" s="63">
        <f>AK85</f>
      </c>
      <c r="E87" s="63"/>
      <c r="F87" s="63"/>
      <c r="G87" s="63"/>
      <c r="H87" s="63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83:104" ht="12.75"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83:104" ht="12.75"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83:104" ht="12.75"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</sheetData>
  <sheetProtection password="9B60" sheet="1" objects="1" scenarios="1"/>
  <mergeCells count="58">
    <mergeCell ref="A1:O1"/>
    <mergeCell ref="D3:L3"/>
    <mergeCell ref="L19:L20"/>
    <mergeCell ref="M19:M20"/>
    <mergeCell ref="J5:J6"/>
    <mergeCell ref="K5:K6"/>
    <mergeCell ref="L5:L6"/>
    <mergeCell ref="M5:M6"/>
    <mergeCell ref="N5:N6"/>
    <mergeCell ref="O5:O6"/>
    <mergeCell ref="N19:N20"/>
    <mergeCell ref="O19:O20"/>
    <mergeCell ref="J12:J13"/>
    <mergeCell ref="K12:K13"/>
    <mergeCell ref="L12:L13"/>
    <mergeCell ref="M12:M13"/>
    <mergeCell ref="N12:N13"/>
    <mergeCell ref="O12:O13"/>
    <mergeCell ref="J19:J20"/>
    <mergeCell ref="K19:K20"/>
    <mergeCell ref="J26:J27"/>
    <mergeCell ref="K26:K27"/>
    <mergeCell ref="L26:L27"/>
    <mergeCell ref="M26:M27"/>
    <mergeCell ref="J33:J34"/>
    <mergeCell ref="K33:K34"/>
    <mergeCell ref="L33:L34"/>
    <mergeCell ref="M33:M34"/>
    <mergeCell ref="N26:N27"/>
    <mergeCell ref="O26:O27"/>
    <mergeCell ref="N33:N34"/>
    <mergeCell ref="N54:N55"/>
    <mergeCell ref="O54:O55"/>
    <mergeCell ref="N40:N41"/>
    <mergeCell ref="O40:O41"/>
    <mergeCell ref="M54:M55"/>
    <mergeCell ref="O33:O34"/>
    <mergeCell ref="N47:N48"/>
    <mergeCell ref="O47:O48"/>
    <mergeCell ref="M47:M48"/>
    <mergeCell ref="J54:J55"/>
    <mergeCell ref="K54:K55"/>
    <mergeCell ref="L54:L55"/>
    <mergeCell ref="M40:M41"/>
    <mergeCell ref="J40:J41"/>
    <mergeCell ref="K40:K41"/>
    <mergeCell ref="J47:J48"/>
    <mergeCell ref="K47:K48"/>
    <mergeCell ref="L47:L48"/>
    <mergeCell ref="L40:L41"/>
    <mergeCell ref="A87:C87"/>
    <mergeCell ref="A79:H80"/>
    <mergeCell ref="A83:H84"/>
    <mergeCell ref="D87:H87"/>
    <mergeCell ref="A5:H6"/>
    <mergeCell ref="A56:H57"/>
    <mergeCell ref="A67:H68"/>
    <mergeCell ref="A74:H75"/>
  </mergeCells>
  <conditionalFormatting sqref="J50:O50 J8:O8 J15:O15 J22:O22 J29:O29 J36:O36 J43:O43 J57:O57">
    <cfRule type="expression" priority="1" dxfId="0" stopIfTrue="1">
      <formula>IF($J8=$AA8,1,0)</formula>
    </cfRule>
  </conditionalFormatting>
  <conditionalFormatting sqref="J7:O7 J14:O14 J21:O21 J28:O28 J35:O35 J42:O42 J49:O49 J56:O56">
    <cfRule type="expression" priority="2" dxfId="1" stopIfTrue="1">
      <formula>IF($J7=$AA7,1,0)</formula>
    </cfRule>
  </conditionalFormatting>
  <conditionalFormatting sqref="C7:C54">
    <cfRule type="expression" priority="3" dxfId="2" stopIfTrue="1">
      <formula>IF($AS7=CONCATENATE($C7,"_win"),1,0)</formula>
    </cfRule>
  </conditionalFormatting>
  <conditionalFormatting sqref="F7:F54">
    <cfRule type="expression" priority="4" dxfId="3" stopIfTrue="1">
      <formula>IF($AT7=CONCATENATE($F7,"_win"),1,0)</formula>
    </cfRule>
  </conditionalFormatting>
  <conditionalFormatting sqref="C58:C65 C69:C72 C76:C77 C81 F76:F77 F81 F58:F65 F69:F72">
    <cfRule type="cellIs" priority="5" dxfId="3" operator="equal" stopIfTrue="1">
      <formula>$AK58</formula>
    </cfRule>
  </conditionalFormatting>
  <conditionalFormatting sqref="D87:F87">
    <cfRule type="cellIs" priority="6" dxfId="4" operator="notEqual" stopIfTrue="1">
      <formula>"Final Winner"</formula>
    </cfRule>
  </conditionalFormatting>
  <conditionalFormatting sqref="C85 F85">
    <cfRule type="cellIs" priority="7" dxfId="3" operator="equal" stopIfTrue="1">
      <formula>$AK$85</formula>
    </cfRule>
  </conditionalFormatting>
  <hyperlinks>
    <hyperlink ref="D3:L3" r:id="rId1" tooltip="http://www.excely.com/" display="http://www.excely.com/world-cup-2006.html?sheet"/>
    <hyperlink ref="H3" r:id="rId2" tooltip="http://www.excely.com/" display="http://www.excely.com/world-cup-2006.html?sheet"/>
    <hyperlink ref="G3" r:id="rId3" tooltip="http://www.excely.com/" display="http://www.excely.com/world-cup-2006.html?sheet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69" r:id="rId6"/>
  <headerFooter alignWithMargins="0">
    <oddFooter>&amp;CExcely.com (c) 2006</oddFooter>
  </headerFooter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0" width="20.140625" style="0" customWidth="1"/>
    <col min="11" max="20" width="20.140625" style="31" customWidth="1"/>
    <col min="21" max="22" width="19.421875" style="49" customWidth="1"/>
    <col min="23" max="16384" width="20.140625" style="0" customWidth="1"/>
  </cols>
  <sheetData>
    <row r="1" spans="1:24" s="25" customFormat="1" ht="12">
      <c r="A1" s="25" t="s">
        <v>76</v>
      </c>
      <c r="B1" s="25" t="s">
        <v>77</v>
      </c>
      <c r="C1" s="25" t="s">
        <v>179</v>
      </c>
      <c r="D1" s="25" t="s">
        <v>180</v>
      </c>
      <c r="E1" s="25" t="s">
        <v>181</v>
      </c>
      <c r="F1" s="25" t="s">
        <v>182</v>
      </c>
      <c r="G1" s="25" t="s">
        <v>426</v>
      </c>
      <c r="H1" s="25" t="s">
        <v>572</v>
      </c>
      <c r="I1" s="25" t="s">
        <v>1095</v>
      </c>
      <c r="J1" s="25" t="s">
        <v>730</v>
      </c>
      <c r="K1" s="25" t="s">
        <v>804</v>
      </c>
      <c r="L1" s="25" t="s">
        <v>886</v>
      </c>
      <c r="M1" s="25" t="s">
        <v>1096</v>
      </c>
      <c r="N1" s="25" t="s">
        <v>1023</v>
      </c>
      <c r="O1" s="25" t="s">
        <v>1476</v>
      </c>
      <c r="P1" s="25" t="s">
        <v>1558</v>
      </c>
      <c r="Q1" s="25" t="s">
        <v>1172</v>
      </c>
      <c r="R1" s="25" t="s">
        <v>490</v>
      </c>
      <c r="S1" s="25" t="s">
        <v>628</v>
      </c>
      <c r="T1" s="25" t="s">
        <v>1634</v>
      </c>
      <c r="U1" s="48" t="s">
        <v>1254</v>
      </c>
      <c r="V1" s="48" t="s">
        <v>1255</v>
      </c>
      <c r="W1" s="25" t="s">
        <v>1256</v>
      </c>
      <c r="X1" s="25" t="s">
        <v>1714</v>
      </c>
    </row>
    <row r="2" spans="1:24" ht="13.5">
      <c r="A2" t="s">
        <v>0</v>
      </c>
      <c r="B2" t="s">
        <v>78</v>
      </c>
      <c r="C2" t="s">
        <v>710</v>
      </c>
      <c r="D2" t="s">
        <v>233</v>
      </c>
      <c r="E2" t="s">
        <v>296</v>
      </c>
      <c r="F2" t="s">
        <v>358</v>
      </c>
      <c r="G2" t="s">
        <v>427</v>
      </c>
      <c r="H2" t="s">
        <v>573</v>
      </c>
      <c r="I2" t="s">
        <v>1024</v>
      </c>
      <c r="J2" t="s">
        <v>731</v>
      </c>
      <c r="K2" t="s">
        <v>805</v>
      </c>
      <c r="L2" t="s">
        <v>887</v>
      </c>
      <c r="M2" t="s">
        <v>1097</v>
      </c>
      <c r="N2" t="s">
        <v>961</v>
      </c>
      <c r="O2" t="s">
        <v>1477</v>
      </c>
      <c r="P2" t="s">
        <v>1559</v>
      </c>
      <c r="Q2" t="s">
        <v>1173</v>
      </c>
      <c r="R2" s="31" t="s">
        <v>491</v>
      </c>
      <c r="S2" s="31" t="s">
        <v>629</v>
      </c>
      <c r="T2" s="31" t="s">
        <v>1635</v>
      </c>
      <c r="U2" s="49" t="s">
        <v>1257</v>
      </c>
      <c r="V2" s="49" t="s">
        <v>1258</v>
      </c>
      <c r="W2" s="50" t="s">
        <v>1259</v>
      </c>
      <c r="X2" s="54" t="s">
        <v>1715</v>
      </c>
    </row>
    <row r="3" spans="1:24" ht="12">
      <c r="A3" t="s">
        <v>12</v>
      </c>
      <c r="B3" t="s">
        <v>79</v>
      </c>
      <c r="C3" t="s">
        <v>183</v>
      </c>
      <c r="D3" t="s">
        <v>234</v>
      </c>
      <c r="E3" t="s">
        <v>297</v>
      </c>
      <c r="F3" t="s">
        <v>359</v>
      </c>
      <c r="G3" t="s">
        <v>428</v>
      </c>
      <c r="H3" t="s">
        <v>574</v>
      </c>
      <c r="I3" t="s">
        <v>1025</v>
      </c>
      <c r="J3" t="s">
        <v>732</v>
      </c>
      <c r="K3" t="s">
        <v>806</v>
      </c>
      <c r="L3" t="s">
        <v>888</v>
      </c>
      <c r="M3" t="s">
        <v>1098</v>
      </c>
      <c r="N3" t="s">
        <v>962</v>
      </c>
      <c r="O3" t="s">
        <v>1478</v>
      </c>
      <c r="P3" t="s">
        <v>1560</v>
      </c>
      <c r="Q3" t="s">
        <v>1174</v>
      </c>
      <c r="R3" s="31" t="s">
        <v>492</v>
      </c>
      <c r="S3" s="31" t="s">
        <v>630</v>
      </c>
      <c r="T3" s="31" t="s">
        <v>1636</v>
      </c>
      <c r="U3" s="49" t="s">
        <v>1260</v>
      </c>
      <c r="V3" s="51" t="s">
        <v>1261</v>
      </c>
      <c r="W3" s="50" t="s">
        <v>1262</v>
      </c>
      <c r="X3" s="54" t="s">
        <v>1716</v>
      </c>
    </row>
    <row r="4" spans="1:24" ht="12">
      <c r="A4" t="s">
        <v>20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1026</v>
      </c>
      <c r="J4" t="s">
        <v>733</v>
      </c>
      <c r="K4" t="s">
        <v>807</v>
      </c>
      <c r="L4" t="s">
        <v>20</v>
      </c>
      <c r="M4" t="s">
        <v>1099</v>
      </c>
      <c r="N4" t="s">
        <v>20</v>
      </c>
      <c r="O4" t="s">
        <v>1479</v>
      </c>
      <c r="P4" t="s">
        <v>1561</v>
      </c>
      <c r="Q4" t="s">
        <v>1175</v>
      </c>
      <c r="R4" s="31" t="s">
        <v>493</v>
      </c>
      <c r="S4" s="31" t="s">
        <v>631</v>
      </c>
      <c r="T4" s="31" t="s">
        <v>1637</v>
      </c>
      <c r="U4" s="49" t="s">
        <v>1263</v>
      </c>
      <c r="V4" s="51" t="s">
        <v>1264</v>
      </c>
      <c r="W4" s="50" t="s">
        <v>1265</v>
      </c>
      <c r="X4" s="54" t="s">
        <v>1717</v>
      </c>
    </row>
    <row r="5" spans="1:24" ht="12">
      <c r="A5" t="s">
        <v>21</v>
      </c>
      <c r="B5" t="s">
        <v>80</v>
      </c>
      <c r="C5" t="s">
        <v>184</v>
      </c>
      <c r="D5" t="s">
        <v>235</v>
      </c>
      <c r="E5" t="s">
        <v>235</v>
      </c>
      <c r="F5" t="s">
        <v>360</v>
      </c>
      <c r="G5" t="s">
        <v>80</v>
      </c>
      <c r="H5" t="s">
        <v>80</v>
      </c>
      <c r="I5" t="s">
        <v>1027</v>
      </c>
      <c r="J5" t="s">
        <v>734</v>
      </c>
      <c r="K5" t="s">
        <v>808</v>
      </c>
      <c r="L5" t="s">
        <v>889</v>
      </c>
      <c r="M5" t="s">
        <v>1100</v>
      </c>
      <c r="N5" t="s">
        <v>1163</v>
      </c>
      <c r="O5" t="s">
        <v>1480</v>
      </c>
      <c r="P5" t="s">
        <v>1562</v>
      </c>
      <c r="Q5" t="s">
        <v>1176</v>
      </c>
      <c r="R5" s="31" t="s">
        <v>494</v>
      </c>
      <c r="S5" s="31" t="s">
        <v>632</v>
      </c>
      <c r="T5" s="31" t="s">
        <v>1638</v>
      </c>
      <c r="U5" s="49" t="s">
        <v>1266</v>
      </c>
      <c r="V5" s="51" t="s">
        <v>1267</v>
      </c>
      <c r="W5" s="50" t="s">
        <v>1268</v>
      </c>
      <c r="X5" s="54" t="s">
        <v>1718</v>
      </c>
    </row>
    <row r="6" spans="1:24" ht="12">
      <c r="A6" t="s">
        <v>22</v>
      </c>
      <c r="B6" t="s">
        <v>22</v>
      </c>
      <c r="C6" t="s">
        <v>185</v>
      </c>
      <c r="D6" t="s">
        <v>22</v>
      </c>
      <c r="E6" t="s">
        <v>22</v>
      </c>
      <c r="F6" t="s">
        <v>361</v>
      </c>
      <c r="G6" t="s">
        <v>22</v>
      </c>
      <c r="H6" t="s">
        <v>22</v>
      </c>
      <c r="I6" t="s">
        <v>1028</v>
      </c>
      <c r="J6" t="s">
        <v>735</v>
      </c>
      <c r="K6" t="s">
        <v>809</v>
      </c>
      <c r="L6" t="s">
        <v>22</v>
      </c>
      <c r="M6" t="s">
        <v>1101</v>
      </c>
      <c r="N6" t="s">
        <v>22</v>
      </c>
      <c r="O6" t="s">
        <v>1481</v>
      </c>
      <c r="P6" t="s">
        <v>1563</v>
      </c>
      <c r="Q6" t="s">
        <v>1177</v>
      </c>
      <c r="R6" s="31" t="s">
        <v>495</v>
      </c>
      <c r="S6" s="31" t="s">
        <v>633</v>
      </c>
      <c r="T6" s="31" t="s">
        <v>1639</v>
      </c>
      <c r="U6" s="49" t="s">
        <v>1269</v>
      </c>
      <c r="V6" s="51" t="s">
        <v>1270</v>
      </c>
      <c r="W6" s="50" t="s">
        <v>1271</v>
      </c>
      <c r="X6" s="54" t="s">
        <v>1719</v>
      </c>
    </row>
    <row r="7" spans="1:24" ht="12">
      <c r="A7" t="s">
        <v>23</v>
      </c>
      <c r="B7" t="s">
        <v>23</v>
      </c>
      <c r="C7" t="s">
        <v>186</v>
      </c>
      <c r="D7" t="s">
        <v>236</v>
      </c>
      <c r="E7" t="s">
        <v>298</v>
      </c>
      <c r="F7" t="s">
        <v>236</v>
      </c>
      <c r="G7" t="s">
        <v>429</v>
      </c>
      <c r="H7" t="s">
        <v>23</v>
      </c>
      <c r="I7" t="s">
        <v>1029</v>
      </c>
      <c r="J7" t="s">
        <v>736</v>
      </c>
      <c r="K7" t="s">
        <v>810</v>
      </c>
      <c r="L7" t="s">
        <v>736</v>
      </c>
      <c r="M7" t="s">
        <v>1102</v>
      </c>
      <c r="N7" t="s">
        <v>963</v>
      </c>
      <c r="O7" t="s">
        <v>1482</v>
      </c>
      <c r="P7" t="s">
        <v>1564</v>
      </c>
      <c r="Q7" t="s">
        <v>1178</v>
      </c>
      <c r="R7" s="31" t="s">
        <v>496</v>
      </c>
      <c r="S7" s="31" t="s">
        <v>634</v>
      </c>
      <c r="T7" s="31" t="s">
        <v>1640</v>
      </c>
      <c r="U7" s="49" t="s">
        <v>1272</v>
      </c>
      <c r="V7" s="51" t="s">
        <v>1273</v>
      </c>
      <c r="W7" s="50" t="s">
        <v>1274</v>
      </c>
      <c r="X7" s="54" t="s">
        <v>1720</v>
      </c>
    </row>
    <row r="8" spans="1:24" ht="12">
      <c r="A8" t="s">
        <v>24</v>
      </c>
      <c r="B8" t="s">
        <v>24</v>
      </c>
      <c r="C8" t="s">
        <v>24</v>
      </c>
      <c r="D8" t="s">
        <v>24</v>
      </c>
      <c r="E8" t="s">
        <v>24</v>
      </c>
      <c r="F8" t="s">
        <v>362</v>
      </c>
      <c r="G8" t="s">
        <v>24</v>
      </c>
      <c r="H8" t="s">
        <v>24</v>
      </c>
      <c r="I8" t="s">
        <v>1030</v>
      </c>
      <c r="J8" t="s">
        <v>737</v>
      </c>
      <c r="K8" t="s">
        <v>811</v>
      </c>
      <c r="L8" t="s">
        <v>24</v>
      </c>
      <c r="M8" t="s">
        <v>1103</v>
      </c>
      <c r="N8" t="s">
        <v>24</v>
      </c>
      <c r="O8" t="s">
        <v>1483</v>
      </c>
      <c r="P8" t="s">
        <v>24</v>
      </c>
      <c r="Q8" t="s">
        <v>1179</v>
      </c>
      <c r="R8" s="31" t="s">
        <v>497</v>
      </c>
      <c r="S8" s="31" t="s">
        <v>635</v>
      </c>
      <c r="T8" s="31" t="s">
        <v>1641</v>
      </c>
      <c r="U8" s="49" t="s">
        <v>1275</v>
      </c>
      <c r="V8" s="51" t="s">
        <v>1275</v>
      </c>
      <c r="W8" s="50" t="s">
        <v>1276</v>
      </c>
      <c r="X8" s="54" t="s">
        <v>1721</v>
      </c>
    </row>
    <row r="9" spans="1:24" ht="12">
      <c r="A9" t="s">
        <v>25</v>
      </c>
      <c r="B9" t="s">
        <v>81</v>
      </c>
      <c r="C9" t="s">
        <v>187</v>
      </c>
      <c r="D9" t="s">
        <v>237</v>
      </c>
      <c r="E9" t="s">
        <v>299</v>
      </c>
      <c r="F9" t="s">
        <v>363</v>
      </c>
      <c r="G9" t="s">
        <v>25</v>
      </c>
      <c r="H9" t="s">
        <v>575</v>
      </c>
      <c r="I9" s="43" t="s">
        <v>1031</v>
      </c>
      <c r="J9" t="s">
        <v>738</v>
      </c>
      <c r="K9" t="s">
        <v>812</v>
      </c>
      <c r="L9" t="s">
        <v>890</v>
      </c>
      <c r="M9" s="43" t="s">
        <v>1104</v>
      </c>
      <c r="N9" s="43" t="s">
        <v>964</v>
      </c>
      <c r="O9" s="43" t="s">
        <v>1484</v>
      </c>
      <c r="P9" s="43" t="s">
        <v>1565</v>
      </c>
      <c r="Q9" s="43" t="s">
        <v>1180</v>
      </c>
      <c r="R9" s="32" t="s">
        <v>498</v>
      </c>
      <c r="S9" s="32" t="s">
        <v>636</v>
      </c>
      <c r="T9" s="32" t="s">
        <v>1642</v>
      </c>
      <c r="U9" s="49" t="s">
        <v>1277</v>
      </c>
      <c r="V9" s="51" t="s">
        <v>1278</v>
      </c>
      <c r="W9" s="52" t="s">
        <v>1279</v>
      </c>
      <c r="X9" s="55" t="s">
        <v>1722</v>
      </c>
    </row>
    <row r="10" spans="1:24" ht="12">
      <c r="A10" t="s">
        <v>26</v>
      </c>
      <c r="B10" t="s">
        <v>82</v>
      </c>
      <c r="C10" t="s">
        <v>188</v>
      </c>
      <c r="D10" t="s">
        <v>238</v>
      </c>
      <c r="E10" t="s">
        <v>300</v>
      </c>
      <c r="F10" t="s">
        <v>364</v>
      </c>
      <c r="G10" t="s">
        <v>430</v>
      </c>
      <c r="H10" t="s">
        <v>576</v>
      </c>
      <c r="I10" t="s">
        <v>1032</v>
      </c>
      <c r="J10" t="s">
        <v>739</v>
      </c>
      <c r="K10" t="s">
        <v>813</v>
      </c>
      <c r="L10" t="s">
        <v>891</v>
      </c>
      <c r="M10" t="s">
        <v>1105</v>
      </c>
      <c r="N10" t="s">
        <v>965</v>
      </c>
      <c r="O10" t="s">
        <v>1485</v>
      </c>
      <c r="P10" t="s">
        <v>1566</v>
      </c>
      <c r="Q10" t="s">
        <v>1181</v>
      </c>
      <c r="R10" s="31" t="s">
        <v>499</v>
      </c>
      <c r="S10" s="31" t="s">
        <v>637</v>
      </c>
      <c r="T10" s="31" t="s">
        <v>1643</v>
      </c>
      <c r="U10" s="49" t="s">
        <v>1280</v>
      </c>
      <c r="V10" s="51" t="s">
        <v>1280</v>
      </c>
      <c r="W10" s="50" t="s">
        <v>1281</v>
      </c>
      <c r="X10" s="54" t="s">
        <v>1723</v>
      </c>
    </row>
    <row r="11" spans="1:24" ht="12">
      <c r="A11" t="s">
        <v>27</v>
      </c>
      <c r="B11" t="s">
        <v>83</v>
      </c>
      <c r="C11" t="s">
        <v>189</v>
      </c>
      <c r="D11" t="s">
        <v>27</v>
      </c>
      <c r="E11" t="s">
        <v>27</v>
      </c>
      <c r="F11" t="s">
        <v>27</v>
      </c>
      <c r="G11" t="s">
        <v>431</v>
      </c>
      <c r="H11" t="s">
        <v>27</v>
      </c>
      <c r="I11" t="s">
        <v>1033</v>
      </c>
      <c r="J11" t="s">
        <v>740</v>
      </c>
      <c r="K11" t="s">
        <v>814</v>
      </c>
      <c r="L11" t="s">
        <v>892</v>
      </c>
      <c r="M11" t="s">
        <v>27</v>
      </c>
      <c r="N11" t="s">
        <v>1164</v>
      </c>
      <c r="O11" t="s">
        <v>1486</v>
      </c>
      <c r="P11" t="s">
        <v>1567</v>
      </c>
      <c r="Q11" t="s">
        <v>1182</v>
      </c>
      <c r="R11" s="31" t="s">
        <v>500</v>
      </c>
      <c r="S11" s="31" t="s">
        <v>638</v>
      </c>
      <c r="T11" s="31" t="s">
        <v>1644</v>
      </c>
      <c r="U11" s="49" t="s">
        <v>1282</v>
      </c>
      <c r="V11" s="51" t="s">
        <v>1282</v>
      </c>
      <c r="W11" s="50" t="s">
        <v>1283</v>
      </c>
      <c r="X11" s="54" t="s">
        <v>1724</v>
      </c>
    </row>
    <row r="12" spans="1:24" ht="12">
      <c r="A12" t="s">
        <v>190</v>
      </c>
      <c r="B12" t="s">
        <v>84</v>
      </c>
      <c r="C12" t="s">
        <v>190</v>
      </c>
      <c r="D12" t="s">
        <v>239</v>
      </c>
      <c r="E12" t="s">
        <v>301</v>
      </c>
      <c r="F12" t="s">
        <v>365</v>
      </c>
      <c r="G12" t="s">
        <v>432</v>
      </c>
      <c r="H12" t="s">
        <v>577</v>
      </c>
      <c r="I12" t="s">
        <v>1034</v>
      </c>
      <c r="J12" t="s">
        <v>741</v>
      </c>
      <c r="K12" t="s">
        <v>815</v>
      </c>
      <c r="L12" t="s">
        <v>893</v>
      </c>
      <c r="M12" t="s">
        <v>28</v>
      </c>
      <c r="N12" t="s">
        <v>966</v>
      </c>
      <c r="O12" t="s">
        <v>1487</v>
      </c>
      <c r="P12" t="s">
        <v>1568</v>
      </c>
      <c r="Q12" t="s">
        <v>1183</v>
      </c>
      <c r="R12" s="31" t="s">
        <v>501</v>
      </c>
      <c r="S12" s="31" t="s">
        <v>639</v>
      </c>
      <c r="T12" s="31" t="s">
        <v>1645</v>
      </c>
      <c r="U12" s="49" t="s">
        <v>1284</v>
      </c>
      <c r="V12" s="51" t="s">
        <v>1284</v>
      </c>
      <c r="W12" s="50" t="s">
        <v>1285</v>
      </c>
      <c r="X12" s="54" t="s">
        <v>1725</v>
      </c>
    </row>
    <row r="13" spans="1:24" ht="12">
      <c r="A13" t="s">
        <v>29</v>
      </c>
      <c r="B13" t="s">
        <v>85</v>
      </c>
      <c r="C13" t="s">
        <v>191</v>
      </c>
      <c r="D13" t="s">
        <v>240</v>
      </c>
      <c r="E13" t="s">
        <v>302</v>
      </c>
      <c r="F13" t="s">
        <v>366</v>
      </c>
      <c r="G13" t="s">
        <v>433</v>
      </c>
      <c r="H13" t="s">
        <v>578</v>
      </c>
      <c r="I13" t="s">
        <v>1035</v>
      </c>
      <c r="J13" t="s">
        <v>742</v>
      </c>
      <c r="K13" t="s">
        <v>816</v>
      </c>
      <c r="L13" t="s">
        <v>894</v>
      </c>
      <c r="M13" t="s">
        <v>1106</v>
      </c>
      <c r="N13" t="s">
        <v>29</v>
      </c>
      <c r="O13" t="s">
        <v>1488</v>
      </c>
      <c r="P13" t="s">
        <v>1569</v>
      </c>
      <c r="Q13" t="s">
        <v>1184</v>
      </c>
      <c r="R13" s="32" t="s">
        <v>502</v>
      </c>
      <c r="S13" s="32" t="s">
        <v>640</v>
      </c>
      <c r="T13" s="32" t="s">
        <v>1646</v>
      </c>
      <c r="U13" s="49" t="s">
        <v>1286</v>
      </c>
      <c r="V13" s="51" t="s">
        <v>1286</v>
      </c>
      <c r="W13" s="50" t="s">
        <v>1287</v>
      </c>
      <c r="X13" s="54" t="s">
        <v>1726</v>
      </c>
    </row>
    <row r="14" spans="1:24" ht="12">
      <c r="A14" t="s">
        <v>30</v>
      </c>
      <c r="B14" t="s">
        <v>86</v>
      </c>
      <c r="C14" t="s">
        <v>192</v>
      </c>
      <c r="D14" t="s">
        <v>241</v>
      </c>
      <c r="E14" t="s">
        <v>303</v>
      </c>
      <c r="F14" t="s">
        <v>241</v>
      </c>
      <c r="G14" t="s">
        <v>434</v>
      </c>
      <c r="H14" t="s">
        <v>434</v>
      </c>
      <c r="I14" t="s">
        <v>1036</v>
      </c>
      <c r="J14" t="s">
        <v>743</v>
      </c>
      <c r="K14" t="s">
        <v>817</v>
      </c>
      <c r="L14" t="s">
        <v>895</v>
      </c>
      <c r="M14" t="s">
        <v>1107</v>
      </c>
      <c r="N14" t="s">
        <v>967</v>
      </c>
      <c r="O14" t="s">
        <v>1489</v>
      </c>
      <c r="P14" t="s">
        <v>1570</v>
      </c>
      <c r="Q14" t="s">
        <v>1185</v>
      </c>
      <c r="R14" s="31" t="s">
        <v>503</v>
      </c>
      <c r="S14" s="31" t="s">
        <v>641</v>
      </c>
      <c r="T14" s="31" t="s">
        <v>1647</v>
      </c>
      <c r="U14" s="49" t="s">
        <v>1288</v>
      </c>
      <c r="V14" s="51" t="s">
        <v>1289</v>
      </c>
      <c r="W14" s="50" t="s">
        <v>1290</v>
      </c>
      <c r="X14" s="54" t="s">
        <v>1727</v>
      </c>
    </row>
    <row r="15" spans="1:24" ht="12">
      <c r="A15" t="s">
        <v>31</v>
      </c>
      <c r="B15" t="s">
        <v>87</v>
      </c>
      <c r="C15" t="s">
        <v>193</v>
      </c>
      <c r="D15" t="s">
        <v>242</v>
      </c>
      <c r="E15" t="s">
        <v>304</v>
      </c>
      <c r="F15" t="s">
        <v>242</v>
      </c>
      <c r="G15" t="s">
        <v>31</v>
      </c>
      <c r="H15" t="s">
        <v>31</v>
      </c>
      <c r="I15" t="s">
        <v>87</v>
      </c>
      <c r="J15" t="s">
        <v>744</v>
      </c>
      <c r="K15" t="s">
        <v>818</v>
      </c>
      <c r="L15" t="s">
        <v>896</v>
      </c>
      <c r="M15" t="s">
        <v>1108</v>
      </c>
      <c r="N15" t="s">
        <v>1165</v>
      </c>
      <c r="O15" t="s">
        <v>1490</v>
      </c>
      <c r="P15" t="s">
        <v>1571</v>
      </c>
      <c r="Q15" t="s">
        <v>1186</v>
      </c>
      <c r="R15" s="31" t="s">
        <v>504</v>
      </c>
      <c r="S15" s="31" t="s">
        <v>642</v>
      </c>
      <c r="T15" s="31" t="s">
        <v>1648</v>
      </c>
      <c r="U15" s="49" t="s">
        <v>1291</v>
      </c>
      <c r="V15" s="51" t="s">
        <v>1291</v>
      </c>
      <c r="W15" s="50" t="s">
        <v>1292</v>
      </c>
      <c r="X15" s="54" t="s">
        <v>1728</v>
      </c>
    </row>
    <row r="16" spans="1:24" ht="12">
      <c r="A16" t="s">
        <v>32</v>
      </c>
      <c r="B16" t="s">
        <v>32</v>
      </c>
      <c r="C16" t="s">
        <v>32</v>
      </c>
      <c r="D16" t="s">
        <v>243</v>
      </c>
      <c r="E16" t="s">
        <v>32</v>
      </c>
      <c r="F16" t="s">
        <v>367</v>
      </c>
      <c r="G16" t="s">
        <v>32</v>
      </c>
      <c r="H16" t="s">
        <v>32</v>
      </c>
      <c r="I16" t="s">
        <v>32</v>
      </c>
      <c r="J16" t="s">
        <v>32</v>
      </c>
      <c r="K16" t="s">
        <v>819</v>
      </c>
      <c r="L16" t="s">
        <v>243</v>
      </c>
      <c r="M16" t="s">
        <v>32</v>
      </c>
      <c r="N16" t="s">
        <v>32</v>
      </c>
      <c r="O16" t="s">
        <v>1491</v>
      </c>
      <c r="P16" t="s">
        <v>1572</v>
      </c>
      <c r="Q16" t="s">
        <v>1187</v>
      </c>
      <c r="R16" s="31" t="s">
        <v>505</v>
      </c>
      <c r="S16" s="31" t="s">
        <v>643</v>
      </c>
      <c r="T16" s="31" t="s">
        <v>1649</v>
      </c>
      <c r="U16" s="49" t="s">
        <v>1293</v>
      </c>
      <c r="V16" s="51" t="s">
        <v>1293</v>
      </c>
      <c r="W16" s="50" t="s">
        <v>1294</v>
      </c>
      <c r="X16" s="54" t="s">
        <v>1729</v>
      </c>
    </row>
    <row r="17" spans="1:24" ht="12">
      <c r="A17" t="s">
        <v>33</v>
      </c>
      <c r="B17" t="s">
        <v>33</v>
      </c>
      <c r="C17" t="s">
        <v>33</v>
      </c>
      <c r="D17" t="s">
        <v>33</v>
      </c>
      <c r="E17" t="s">
        <v>33</v>
      </c>
      <c r="F17" t="s">
        <v>33</v>
      </c>
      <c r="G17" t="s">
        <v>33</v>
      </c>
      <c r="H17" t="s">
        <v>33</v>
      </c>
      <c r="I17" t="s">
        <v>1037</v>
      </c>
      <c r="J17" t="s">
        <v>33</v>
      </c>
      <c r="K17" t="s">
        <v>820</v>
      </c>
      <c r="L17" t="s">
        <v>33</v>
      </c>
      <c r="M17" t="s">
        <v>33</v>
      </c>
      <c r="N17" t="s">
        <v>1166</v>
      </c>
      <c r="O17" t="s">
        <v>1492</v>
      </c>
      <c r="P17" t="s">
        <v>33</v>
      </c>
      <c r="Q17" t="s">
        <v>1188</v>
      </c>
      <c r="R17" s="31" t="s">
        <v>506</v>
      </c>
      <c r="S17" s="31" t="s">
        <v>644</v>
      </c>
      <c r="T17" s="31" t="s">
        <v>1650</v>
      </c>
      <c r="U17" s="49" t="s">
        <v>1295</v>
      </c>
      <c r="V17" s="51" t="s">
        <v>1295</v>
      </c>
      <c r="W17" s="50" t="s">
        <v>1296</v>
      </c>
      <c r="X17" s="54" t="s">
        <v>1730</v>
      </c>
    </row>
    <row r="18" spans="1:24" ht="12">
      <c r="A18" t="s">
        <v>34</v>
      </c>
      <c r="B18" t="s">
        <v>34</v>
      </c>
      <c r="C18" t="s">
        <v>34</v>
      </c>
      <c r="D18" t="s">
        <v>34</v>
      </c>
      <c r="E18" t="s">
        <v>305</v>
      </c>
      <c r="F18" t="s">
        <v>34</v>
      </c>
      <c r="G18" t="s">
        <v>34</v>
      </c>
      <c r="H18" t="s">
        <v>34</v>
      </c>
      <c r="I18" t="s">
        <v>1038</v>
      </c>
      <c r="J18" t="s">
        <v>745</v>
      </c>
      <c r="K18" t="s">
        <v>821</v>
      </c>
      <c r="L18" t="s">
        <v>897</v>
      </c>
      <c r="M18" t="s">
        <v>34</v>
      </c>
      <c r="N18" t="s">
        <v>1167</v>
      </c>
      <c r="O18" t="s">
        <v>1493</v>
      </c>
      <c r="P18" t="s">
        <v>1573</v>
      </c>
      <c r="Q18" t="s">
        <v>1189</v>
      </c>
      <c r="R18" s="31" t="s">
        <v>507</v>
      </c>
      <c r="S18" s="31" t="s">
        <v>645</v>
      </c>
      <c r="T18" s="31" t="s">
        <v>1651</v>
      </c>
      <c r="U18" s="49" t="s">
        <v>1297</v>
      </c>
      <c r="V18" s="51" t="s">
        <v>1297</v>
      </c>
      <c r="W18" s="50" t="s">
        <v>1298</v>
      </c>
      <c r="X18" s="54" t="s">
        <v>1731</v>
      </c>
    </row>
    <row r="19" spans="1:24" ht="12">
      <c r="A19" t="s">
        <v>35</v>
      </c>
      <c r="B19" t="s">
        <v>88</v>
      </c>
      <c r="C19" t="s">
        <v>194</v>
      </c>
      <c r="D19" t="s">
        <v>244</v>
      </c>
      <c r="E19" t="s">
        <v>244</v>
      </c>
      <c r="F19" t="s">
        <v>368</v>
      </c>
      <c r="G19" t="s">
        <v>435</v>
      </c>
      <c r="H19" t="s">
        <v>244</v>
      </c>
      <c r="I19" t="s">
        <v>194</v>
      </c>
      <c r="J19" t="s">
        <v>746</v>
      </c>
      <c r="K19" t="s">
        <v>822</v>
      </c>
      <c r="L19" t="s">
        <v>898</v>
      </c>
      <c r="M19" t="s">
        <v>1109</v>
      </c>
      <c r="N19" t="s">
        <v>968</v>
      </c>
      <c r="O19" t="s">
        <v>1494</v>
      </c>
      <c r="P19" t="s">
        <v>1574</v>
      </c>
      <c r="Q19" t="s">
        <v>1190</v>
      </c>
      <c r="R19" s="31" t="s">
        <v>508</v>
      </c>
      <c r="S19" s="31" t="s">
        <v>646</v>
      </c>
      <c r="T19" s="31" t="s">
        <v>1652</v>
      </c>
      <c r="U19" s="49" t="s">
        <v>1299</v>
      </c>
      <c r="V19" s="51" t="s">
        <v>1299</v>
      </c>
      <c r="W19" s="50" t="s">
        <v>1300</v>
      </c>
      <c r="X19" s="54" t="s">
        <v>1732</v>
      </c>
    </row>
    <row r="20" spans="1:24" ht="12">
      <c r="A20" t="s">
        <v>36</v>
      </c>
      <c r="B20" t="s">
        <v>36</v>
      </c>
      <c r="C20" t="s">
        <v>36</v>
      </c>
      <c r="D20" t="s">
        <v>36</v>
      </c>
      <c r="E20" t="s">
        <v>36</v>
      </c>
      <c r="F20" t="s">
        <v>369</v>
      </c>
      <c r="G20" t="s">
        <v>36</v>
      </c>
      <c r="H20" t="s">
        <v>36</v>
      </c>
      <c r="I20" t="s">
        <v>1039</v>
      </c>
      <c r="J20" t="s">
        <v>36</v>
      </c>
      <c r="K20" t="s">
        <v>823</v>
      </c>
      <c r="L20" t="s">
        <v>899</v>
      </c>
      <c r="M20" t="s">
        <v>369</v>
      </c>
      <c r="N20" t="s">
        <v>36</v>
      </c>
      <c r="O20" t="s">
        <v>1495</v>
      </c>
      <c r="P20" t="s">
        <v>369</v>
      </c>
      <c r="Q20" t="s">
        <v>1191</v>
      </c>
      <c r="R20" s="31" t="s">
        <v>509</v>
      </c>
      <c r="S20" s="31" t="s">
        <v>647</v>
      </c>
      <c r="T20" s="31" t="s">
        <v>509</v>
      </c>
      <c r="U20" s="49" t="s">
        <v>1301</v>
      </c>
      <c r="V20" s="51" t="s">
        <v>1302</v>
      </c>
      <c r="W20" s="50" t="s">
        <v>1303</v>
      </c>
      <c r="X20" s="54" t="s">
        <v>1733</v>
      </c>
    </row>
    <row r="21" spans="1:24" ht="12">
      <c r="A21" t="s">
        <v>37</v>
      </c>
      <c r="B21" t="s">
        <v>37</v>
      </c>
      <c r="C21" t="s">
        <v>195</v>
      </c>
      <c r="D21" t="s">
        <v>245</v>
      </c>
      <c r="E21" t="s">
        <v>37</v>
      </c>
      <c r="F21" t="s">
        <v>370</v>
      </c>
      <c r="G21" t="s">
        <v>436</v>
      </c>
      <c r="H21" t="s">
        <v>37</v>
      </c>
      <c r="I21" t="s">
        <v>1040</v>
      </c>
      <c r="J21" t="s">
        <v>37</v>
      </c>
      <c r="K21" t="s">
        <v>824</v>
      </c>
      <c r="L21" t="s">
        <v>900</v>
      </c>
      <c r="M21" t="s">
        <v>1110</v>
      </c>
      <c r="N21" t="s">
        <v>969</v>
      </c>
      <c r="O21" t="s">
        <v>1496</v>
      </c>
      <c r="P21" t="s">
        <v>1575</v>
      </c>
      <c r="Q21" t="s">
        <v>1192</v>
      </c>
      <c r="R21" s="31" t="s">
        <v>510</v>
      </c>
      <c r="S21" s="31" t="s">
        <v>648</v>
      </c>
      <c r="T21" s="31" t="s">
        <v>1653</v>
      </c>
      <c r="U21" s="49" t="s">
        <v>1304</v>
      </c>
      <c r="V21" s="51" t="s">
        <v>1305</v>
      </c>
      <c r="W21" s="50" t="s">
        <v>1306</v>
      </c>
      <c r="X21" s="54" t="s">
        <v>1734</v>
      </c>
    </row>
    <row r="22" spans="1:24" ht="12">
      <c r="A22" t="s">
        <v>38</v>
      </c>
      <c r="B22" t="s">
        <v>89</v>
      </c>
      <c r="C22" t="s">
        <v>196</v>
      </c>
      <c r="D22" t="s">
        <v>246</v>
      </c>
      <c r="E22" t="s">
        <v>306</v>
      </c>
      <c r="F22" t="s">
        <v>371</v>
      </c>
      <c r="G22" t="s">
        <v>437</v>
      </c>
      <c r="H22" t="s">
        <v>579</v>
      </c>
      <c r="I22" t="s">
        <v>1041</v>
      </c>
      <c r="J22" t="s">
        <v>747</v>
      </c>
      <c r="K22" t="s">
        <v>825</v>
      </c>
      <c r="L22" t="s">
        <v>901</v>
      </c>
      <c r="M22" t="s">
        <v>1111</v>
      </c>
      <c r="N22" t="s">
        <v>970</v>
      </c>
      <c r="O22" t="s">
        <v>1497</v>
      </c>
      <c r="P22" t="s">
        <v>1576</v>
      </c>
      <c r="Q22" t="s">
        <v>1193</v>
      </c>
      <c r="R22" s="32" t="s">
        <v>511</v>
      </c>
      <c r="S22" s="32" t="s">
        <v>649</v>
      </c>
      <c r="T22" s="32" t="s">
        <v>1654</v>
      </c>
      <c r="U22" s="49" t="s">
        <v>1307</v>
      </c>
      <c r="V22" s="51" t="s">
        <v>1307</v>
      </c>
      <c r="W22" s="50" t="s">
        <v>1308</v>
      </c>
      <c r="X22" s="54" t="s">
        <v>1735</v>
      </c>
    </row>
    <row r="23" spans="1:24" ht="12">
      <c r="A23" t="s">
        <v>39</v>
      </c>
      <c r="B23" t="s">
        <v>90</v>
      </c>
      <c r="C23" t="s">
        <v>197</v>
      </c>
      <c r="D23" t="s">
        <v>247</v>
      </c>
      <c r="E23" t="s">
        <v>307</v>
      </c>
      <c r="F23" t="s">
        <v>247</v>
      </c>
      <c r="G23" t="s">
        <v>438</v>
      </c>
      <c r="H23" t="s">
        <v>247</v>
      </c>
      <c r="I23" t="s">
        <v>1042</v>
      </c>
      <c r="J23" t="s">
        <v>748</v>
      </c>
      <c r="K23" t="s">
        <v>826</v>
      </c>
      <c r="L23" t="s">
        <v>902</v>
      </c>
      <c r="M23" t="s">
        <v>39</v>
      </c>
      <c r="N23" t="s">
        <v>39</v>
      </c>
      <c r="O23" t="s">
        <v>1498</v>
      </c>
      <c r="P23" t="s">
        <v>1577</v>
      </c>
      <c r="Q23" t="s">
        <v>1194</v>
      </c>
      <c r="R23" s="31" t="s">
        <v>512</v>
      </c>
      <c r="S23" s="31" t="s">
        <v>650</v>
      </c>
      <c r="T23" s="31" t="s">
        <v>1655</v>
      </c>
      <c r="U23" s="49" t="s">
        <v>1309</v>
      </c>
      <c r="V23" s="51" t="s">
        <v>1309</v>
      </c>
      <c r="W23" s="50" t="s">
        <v>1310</v>
      </c>
      <c r="X23" s="54" t="s">
        <v>1736</v>
      </c>
    </row>
    <row r="24" spans="1:24" ht="12">
      <c r="A24" t="s">
        <v>40</v>
      </c>
      <c r="B24" t="s">
        <v>91</v>
      </c>
      <c r="C24" t="s">
        <v>198</v>
      </c>
      <c r="D24" t="s">
        <v>248</v>
      </c>
      <c r="E24" t="s">
        <v>308</v>
      </c>
      <c r="F24" t="s">
        <v>372</v>
      </c>
      <c r="G24" t="s">
        <v>439</v>
      </c>
      <c r="H24" t="s">
        <v>580</v>
      </c>
      <c r="I24" t="s">
        <v>1043</v>
      </c>
      <c r="J24" t="s">
        <v>749</v>
      </c>
      <c r="K24" t="s">
        <v>827</v>
      </c>
      <c r="L24" t="s">
        <v>903</v>
      </c>
      <c r="M24" t="s">
        <v>1112</v>
      </c>
      <c r="N24" t="s">
        <v>40</v>
      </c>
      <c r="O24" t="s">
        <v>1499</v>
      </c>
      <c r="P24" t="s">
        <v>1578</v>
      </c>
      <c r="Q24" t="s">
        <v>1195</v>
      </c>
      <c r="R24" s="31" t="s">
        <v>513</v>
      </c>
      <c r="S24" s="31" t="s">
        <v>651</v>
      </c>
      <c r="T24" s="31" t="s">
        <v>1656</v>
      </c>
      <c r="U24" s="49" t="s">
        <v>1311</v>
      </c>
      <c r="V24" s="51" t="s">
        <v>1312</v>
      </c>
      <c r="W24" s="50" t="s">
        <v>1313</v>
      </c>
      <c r="X24" s="54" t="s">
        <v>1737</v>
      </c>
    </row>
    <row r="25" spans="1:24" ht="12">
      <c r="A25" t="s">
        <v>41</v>
      </c>
      <c r="B25" t="s">
        <v>92</v>
      </c>
      <c r="C25" t="s">
        <v>199</v>
      </c>
      <c r="D25" t="s">
        <v>41</v>
      </c>
      <c r="E25" t="s">
        <v>41</v>
      </c>
      <c r="F25" t="s">
        <v>373</v>
      </c>
      <c r="G25" t="s">
        <v>440</v>
      </c>
      <c r="H25" t="s">
        <v>41</v>
      </c>
      <c r="I25" t="s">
        <v>1044</v>
      </c>
      <c r="J25" t="s">
        <v>41</v>
      </c>
      <c r="K25" t="s">
        <v>828</v>
      </c>
      <c r="L25" t="s">
        <v>904</v>
      </c>
      <c r="M25" t="s">
        <v>1113</v>
      </c>
      <c r="N25" t="s">
        <v>971</v>
      </c>
      <c r="O25" t="s">
        <v>1500</v>
      </c>
      <c r="P25" t="s">
        <v>1579</v>
      </c>
      <c r="Q25" t="s">
        <v>1196</v>
      </c>
      <c r="R25" s="31" t="s">
        <v>514</v>
      </c>
      <c r="S25" s="31" t="s">
        <v>652</v>
      </c>
      <c r="T25" s="31" t="s">
        <v>1657</v>
      </c>
      <c r="U25" s="49" t="s">
        <v>1314</v>
      </c>
      <c r="V25" s="51" t="s">
        <v>1314</v>
      </c>
      <c r="W25" s="50" t="s">
        <v>1315</v>
      </c>
      <c r="X25" s="54" t="s">
        <v>1738</v>
      </c>
    </row>
    <row r="26" spans="1:24" ht="12">
      <c r="A26" t="s">
        <v>42</v>
      </c>
      <c r="B26" t="s">
        <v>42</v>
      </c>
      <c r="C26" t="s">
        <v>200</v>
      </c>
      <c r="D26" t="s">
        <v>249</v>
      </c>
      <c r="E26" t="s">
        <v>309</v>
      </c>
      <c r="F26" t="s">
        <v>374</v>
      </c>
      <c r="G26" t="s">
        <v>42</v>
      </c>
      <c r="H26" t="s">
        <v>42</v>
      </c>
      <c r="I26" t="s">
        <v>42</v>
      </c>
      <c r="J26" t="s">
        <v>750</v>
      </c>
      <c r="K26" t="s">
        <v>829</v>
      </c>
      <c r="L26" t="s">
        <v>905</v>
      </c>
      <c r="M26" t="s">
        <v>42</v>
      </c>
      <c r="N26" t="s">
        <v>1168</v>
      </c>
      <c r="O26" t="s">
        <v>1501</v>
      </c>
      <c r="P26" t="s">
        <v>1580</v>
      </c>
      <c r="Q26" t="s">
        <v>1197</v>
      </c>
      <c r="R26" s="31" t="s">
        <v>515</v>
      </c>
      <c r="S26" s="31" t="s">
        <v>653</v>
      </c>
      <c r="T26" s="31" t="s">
        <v>1658</v>
      </c>
      <c r="U26" s="49" t="s">
        <v>1316</v>
      </c>
      <c r="V26" s="51" t="s">
        <v>1316</v>
      </c>
      <c r="W26" s="50" t="s">
        <v>1316</v>
      </c>
      <c r="X26" s="54" t="s">
        <v>1739</v>
      </c>
    </row>
    <row r="27" spans="1:24" ht="12">
      <c r="A27" t="s">
        <v>43</v>
      </c>
      <c r="B27" t="s">
        <v>93</v>
      </c>
      <c r="C27" t="s">
        <v>43</v>
      </c>
      <c r="D27" t="s">
        <v>250</v>
      </c>
      <c r="E27" t="s">
        <v>250</v>
      </c>
      <c r="F27" t="s">
        <v>375</v>
      </c>
      <c r="G27" t="s">
        <v>441</v>
      </c>
      <c r="H27" t="s">
        <v>581</v>
      </c>
      <c r="I27" t="s">
        <v>1045</v>
      </c>
      <c r="J27" t="s">
        <v>751</v>
      </c>
      <c r="K27" t="s">
        <v>830</v>
      </c>
      <c r="L27" t="s">
        <v>906</v>
      </c>
      <c r="M27" t="s">
        <v>1114</v>
      </c>
      <c r="N27" t="s">
        <v>972</v>
      </c>
      <c r="O27" t="s">
        <v>1502</v>
      </c>
      <c r="P27" t="s">
        <v>1581</v>
      </c>
      <c r="Q27" t="s">
        <v>1198</v>
      </c>
      <c r="R27" s="31" t="s">
        <v>516</v>
      </c>
      <c r="S27" s="31" t="s">
        <v>654</v>
      </c>
      <c r="T27" s="31" t="s">
        <v>1659</v>
      </c>
      <c r="U27" s="49" t="s">
        <v>1317</v>
      </c>
      <c r="V27" s="51" t="s">
        <v>1318</v>
      </c>
      <c r="W27" s="50" t="s">
        <v>1319</v>
      </c>
      <c r="X27" s="54" t="s">
        <v>1740</v>
      </c>
    </row>
    <row r="28" spans="1:24" ht="12">
      <c r="A28" t="s">
        <v>44</v>
      </c>
      <c r="B28" t="s">
        <v>94</v>
      </c>
      <c r="C28" t="s">
        <v>201</v>
      </c>
      <c r="D28" t="s">
        <v>251</v>
      </c>
      <c r="E28" t="s">
        <v>310</v>
      </c>
      <c r="F28" t="s">
        <v>376</v>
      </c>
      <c r="G28" t="s">
        <v>442</v>
      </c>
      <c r="H28" t="s">
        <v>582</v>
      </c>
      <c r="I28" t="s">
        <v>1046</v>
      </c>
      <c r="J28" t="s">
        <v>752</v>
      </c>
      <c r="K28" t="s">
        <v>831</v>
      </c>
      <c r="L28" t="s">
        <v>907</v>
      </c>
      <c r="M28" t="s">
        <v>1115</v>
      </c>
      <c r="N28" t="s">
        <v>973</v>
      </c>
      <c r="O28" t="s">
        <v>1503</v>
      </c>
      <c r="P28" t="s">
        <v>1582</v>
      </c>
      <c r="Q28" t="s">
        <v>1199</v>
      </c>
      <c r="R28" s="31" t="s">
        <v>517</v>
      </c>
      <c r="S28" s="31" t="s">
        <v>655</v>
      </c>
      <c r="T28" s="31" t="s">
        <v>1660</v>
      </c>
      <c r="U28" s="49" t="s">
        <v>1320</v>
      </c>
      <c r="V28" s="51" t="s">
        <v>1320</v>
      </c>
      <c r="W28" s="50" t="s">
        <v>1321</v>
      </c>
      <c r="X28" s="54" t="s">
        <v>1741</v>
      </c>
    </row>
    <row r="29" spans="1:24" ht="12">
      <c r="A29" t="s">
        <v>45</v>
      </c>
      <c r="B29" t="s">
        <v>95</v>
      </c>
      <c r="C29" t="s">
        <v>202</v>
      </c>
      <c r="D29" t="s">
        <v>252</v>
      </c>
      <c r="E29" t="s">
        <v>311</v>
      </c>
      <c r="F29" t="s">
        <v>377</v>
      </c>
      <c r="G29" t="s">
        <v>443</v>
      </c>
      <c r="H29" t="s">
        <v>583</v>
      </c>
      <c r="I29" t="s">
        <v>1047</v>
      </c>
      <c r="J29" t="s">
        <v>753</v>
      </c>
      <c r="K29" t="s">
        <v>832</v>
      </c>
      <c r="L29" t="s">
        <v>908</v>
      </c>
      <c r="M29" t="s">
        <v>1116</v>
      </c>
      <c r="N29" t="s">
        <v>974</v>
      </c>
      <c r="O29" t="s">
        <v>1504</v>
      </c>
      <c r="P29" t="s">
        <v>1583</v>
      </c>
      <c r="Q29" t="s">
        <v>1200</v>
      </c>
      <c r="R29" s="31" t="s">
        <v>518</v>
      </c>
      <c r="S29" s="31" t="s">
        <v>656</v>
      </c>
      <c r="T29" s="31" t="s">
        <v>1661</v>
      </c>
      <c r="U29" s="49" t="s">
        <v>1322</v>
      </c>
      <c r="V29" s="51" t="s">
        <v>1323</v>
      </c>
      <c r="W29" s="50" t="s">
        <v>1324</v>
      </c>
      <c r="X29" s="54" t="s">
        <v>1742</v>
      </c>
    </row>
    <row r="30" spans="1:24" ht="12">
      <c r="A30" t="s">
        <v>46</v>
      </c>
      <c r="B30" t="s">
        <v>46</v>
      </c>
      <c r="C30" t="s">
        <v>46</v>
      </c>
      <c r="D30" t="s">
        <v>46</v>
      </c>
      <c r="E30" t="s">
        <v>46</v>
      </c>
      <c r="F30" t="s">
        <v>46</v>
      </c>
      <c r="G30" t="s">
        <v>46</v>
      </c>
      <c r="H30" t="s">
        <v>46</v>
      </c>
      <c r="I30" t="s">
        <v>1048</v>
      </c>
      <c r="J30" t="s">
        <v>46</v>
      </c>
      <c r="K30" t="s">
        <v>833</v>
      </c>
      <c r="L30" t="s">
        <v>46</v>
      </c>
      <c r="M30" t="s">
        <v>46</v>
      </c>
      <c r="N30" t="s">
        <v>46</v>
      </c>
      <c r="O30" t="s">
        <v>1505</v>
      </c>
      <c r="P30" t="s">
        <v>46</v>
      </c>
      <c r="Q30" t="s">
        <v>1201</v>
      </c>
      <c r="R30" s="31" t="s">
        <v>519</v>
      </c>
      <c r="S30" s="31" t="s">
        <v>657</v>
      </c>
      <c r="T30" s="31" t="s">
        <v>1662</v>
      </c>
      <c r="U30" s="49" t="s">
        <v>1325</v>
      </c>
      <c r="V30" s="51" t="s">
        <v>1325</v>
      </c>
      <c r="W30" s="50" t="s">
        <v>1326</v>
      </c>
      <c r="X30" s="54" t="s">
        <v>1743</v>
      </c>
    </row>
    <row r="31" spans="1:24" ht="12">
      <c r="A31" t="s">
        <v>47</v>
      </c>
      <c r="B31" t="s">
        <v>96</v>
      </c>
      <c r="C31" t="s">
        <v>203</v>
      </c>
      <c r="D31" t="s">
        <v>253</v>
      </c>
      <c r="E31" t="s">
        <v>312</v>
      </c>
      <c r="F31" t="s">
        <v>378</v>
      </c>
      <c r="G31" t="s">
        <v>444</v>
      </c>
      <c r="H31" t="s">
        <v>584</v>
      </c>
      <c r="I31" t="s">
        <v>1049</v>
      </c>
      <c r="J31" t="s">
        <v>754</v>
      </c>
      <c r="K31" t="s">
        <v>834</v>
      </c>
      <c r="L31" t="s">
        <v>909</v>
      </c>
      <c r="M31" t="s">
        <v>1117</v>
      </c>
      <c r="N31" t="s">
        <v>975</v>
      </c>
      <c r="O31" t="s">
        <v>1506</v>
      </c>
      <c r="P31" t="s">
        <v>1584</v>
      </c>
      <c r="Q31" t="s">
        <v>1202</v>
      </c>
      <c r="R31" s="31" t="s">
        <v>520</v>
      </c>
      <c r="S31" s="31" t="s">
        <v>658</v>
      </c>
      <c r="T31" s="31" t="s">
        <v>1663</v>
      </c>
      <c r="U31" s="49" t="s">
        <v>1327</v>
      </c>
      <c r="V31" s="51" t="s">
        <v>1327</v>
      </c>
      <c r="W31" s="50" t="s">
        <v>1328</v>
      </c>
      <c r="X31" s="54" t="s">
        <v>1744</v>
      </c>
    </row>
    <row r="32" spans="1:24" ht="12">
      <c r="A32" t="s">
        <v>48</v>
      </c>
      <c r="B32" t="s">
        <v>48</v>
      </c>
      <c r="C32" t="s">
        <v>48</v>
      </c>
      <c r="D32" t="s">
        <v>254</v>
      </c>
      <c r="E32" t="s">
        <v>313</v>
      </c>
      <c r="F32" t="s">
        <v>379</v>
      </c>
      <c r="G32" t="s">
        <v>48</v>
      </c>
      <c r="H32" t="s">
        <v>585</v>
      </c>
      <c r="I32" t="s">
        <v>48</v>
      </c>
      <c r="J32" t="s">
        <v>585</v>
      </c>
      <c r="K32" t="s">
        <v>835</v>
      </c>
      <c r="L32" t="s">
        <v>910</v>
      </c>
      <c r="M32" t="s">
        <v>1118</v>
      </c>
      <c r="N32" t="s">
        <v>585</v>
      </c>
      <c r="O32" t="s">
        <v>1507</v>
      </c>
      <c r="P32" t="s">
        <v>1585</v>
      </c>
      <c r="Q32" t="s">
        <v>1203</v>
      </c>
      <c r="R32" s="31" t="s">
        <v>521</v>
      </c>
      <c r="S32" s="31" t="s">
        <v>659</v>
      </c>
      <c r="T32" s="31" t="s">
        <v>1664</v>
      </c>
      <c r="U32" s="49" t="s">
        <v>1329</v>
      </c>
      <c r="V32" s="51" t="s">
        <v>1330</v>
      </c>
      <c r="W32" s="50" t="s">
        <v>1331</v>
      </c>
      <c r="X32" s="54" t="s">
        <v>1745</v>
      </c>
    </row>
    <row r="33" spans="1:24" ht="12">
      <c r="A33" t="s">
        <v>49</v>
      </c>
      <c r="B33" t="s">
        <v>97</v>
      </c>
      <c r="C33" t="s">
        <v>204</v>
      </c>
      <c r="D33" t="s">
        <v>255</v>
      </c>
      <c r="E33" t="s">
        <v>49</v>
      </c>
      <c r="F33" t="s">
        <v>380</v>
      </c>
      <c r="G33" t="s">
        <v>445</v>
      </c>
      <c r="H33" t="s">
        <v>49</v>
      </c>
      <c r="I33" t="s">
        <v>1050</v>
      </c>
      <c r="J33" t="s">
        <v>755</v>
      </c>
      <c r="K33" t="s">
        <v>836</v>
      </c>
      <c r="L33" t="s">
        <v>911</v>
      </c>
      <c r="M33" t="s">
        <v>1119</v>
      </c>
      <c r="N33" t="s">
        <v>1169</v>
      </c>
      <c r="O33" t="s">
        <v>1508</v>
      </c>
      <c r="P33" t="s">
        <v>1586</v>
      </c>
      <c r="Q33" t="s">
        <v>1204</v>
      </c>
      <c r="R33" s="31" t="s">
        <v>522</v>
      </c>
      <c r="S33" s="31" t="s">
        <v>522</v>
      </c>
      <c r="T33" s="31" t="s">
        <v>522</v>
      </c>
      <c r="U33" s="49" t="s">
        <v>1332</v>
      </c>
      <c r="V33" s="51" t="s">
        <v>1333</v>
      </c>
      <c r="W33" s="50" t="s">
        <v>1334</v>
      </c>
      <c r="X33" s="54" t="s">
        <v>1746</v>
      </c>
    </row>
    <row r="34" spans="1:24" ht="12">
      <c r="A34" t="s">
        <v>50</v>
      </c>
      <c r="B34" t="s">
        <v>98</v>
      </c>
      <c r="C34" t="s">
        <v>205</v>
      </c>
      <c r="D34" t="s">
        <v>256</v>
      </c>
      <c r="E34" t="s">
        <v>314</v>
      </c>
      <c r="F34" t="s">
        <v>381</v>
      </c>
      <c r="G34" t="s">
        <v>446</v>
      </c>
      <c r="H34" t="s">
        <v>50</v>
      </c>
      <c r="I34" t="s">
        <v>1051</v>
      </c>
      <c r="J34" t="s">
        <v>756</v>
      </c>
      <c r="K34" t="s">
        <v>837</v>
      </c>
      <c r="L34" t="s">
        <v>912</v>
      </c>
      <c r="M34" t="s">
        <v>1120</v>
      </c>
      <c r="N34" t="s">
        <v>976</v>
      </c>
      <c r="O34" t="s">
        <v>1509</v>
      </c>
      <c r="P34" t="s">
        <v>1587</v>
      </c>
      <c r="Q34" t="s">
        <v>1205</v>
      </c>
      <c r="R34" s="31" t="s">
        <v>523</v>
      </c>
      <c r="S34" s="31" t="s">
        <v>660</v>
      </c>
      <c r="T34" s="31" t="s">
        <v>1665</v>
      </c>
      <c r="U34" s="49" t="s">
        <v>1335</v>
      </c>
      <c r="V34" s="51" t="s">
        <v>1336</v>
      </c>
      <c r="W34" s="50" t="s">
        <v>1337</v>
      </c>
      <c r="X34" s="54" t="s">
        <v>1747</v>
      </c>
    </row>
    <row r="35" spans="1:24" ht="13.5">
      <c r="A35" t="s">
        <v>1</v>
      </c>
      <c r="B35" t="s">
        <v>99</v>
      </c>
      <c r="C35" t="s">
        <v>99</v>
      </c>
      <c r="D35" t="s">
        <v>257</v>
      </c>
      <c r="E35" t="s">
        <v>101</v>
      </c>
      <c r="F35" t="s">
        <v>101</v>
      </c>
      <c r="G35" t="s">
        <v>1</v>
      </c>
      <c r="H35" t="s">
        <v>101</v>
      </c>
      <c r="I35" t="s">
        <v>1052</v>
      </c>
      <c r="J35" t="s">
        <v>757</v>
      </c>
      <c r="K35" t="s">
        <v>838</v>
      </c>
      <c r="L35" t="s">
        <v>913</v>
      </c>
      <c r="M35" t="s">
        <v>1</v>
      </c>
      <c r="N35" t="s">
        <v>977</v>
      </c>
      <c r="O35" t="s">
        <v>1510</v>
      </c>
      <c r="P35" t="s">
        <v>99</v>
      </c>
      <c r="Q35" t="s">
        <v>1206</v>
      </c>
      <c r="R35" s="31" t="s">
        <v>524</v>
      </c>
      <c r="S35" s="31" t="s">
        <v>661</v>
      </c>
      <c r="T35" s="31" t="s">
        <v>1666</v>
      </c>
      <c r="U35" s="53" t="s">
        <v>1338</v>
      </c>
      <c r="V35" s="51" t="s">
        <v>1339</v>
      </c>
      <c r="W35" s="50" t="s">
        <v>1338</v>
      </c>
      <c r="X35" s="54" t="s">
        <v>1748</v>
      </c>
    </row>
    <row r="36" spans="1:24" ht="13.5">
      <c r="A36" t="s">
        <v>2</v>
      </c>
      <c r="B36" t="s">
        <v>100</v>
      </c>
      <c r="C36" t="s">
        <v>206</v>
      </c>
      <c r="D36" t="s">
        <v>258</v>
      </c>
      <c r="E36" t="s">
        <v>206</v>
      </c>
      <c r="F36" t="s">
        <v>382</v>
      </c>
      <c r="G36" t="s">
        <v>99</v>
      </c>
      <c r="H36" t="s">
        <v>100</v>
      </c>
      <c r="I36" t="s">
        <v>100</v>
      </c>
      <c r="J36" t="s">
        <v>758</v>
      </c>
      <c r="K36" t="s">
        <v>839</v>
      </c>
      <c r="L36" t="s">
        <v>2</v>
      </c>
      <c r="M36" t="s">
        <v>2</v>
      </c>
      <c r="N36" t="s">
        <v>978</v>
      </c>
      <c r="O36" t="s">
        <v>1511</v>
      </c>
      <c r="P36" t="s">
        <v>1588</v>
      </c>
      <c r="Q36" t="s">
        <v>1207</v>
      </c>
      <c r="R36" s="31" t="s">
        <v>525</v>
      </c>
      <c r="S36" s="31" t="s">
        <v>662</v>
      </c>
      <c r="T36" s="31" t="s">
        <v>1667</v>
      </c>
      <c r="U36" s="53" t="s">
        <v>1340</v>
      </c>
      <c r="V36" s="51" t="s">
        <v>1340</v>
      </c>
      <c r="W36" s="50" t="s">
        <v>1341</v>
      </c>
      <c r="X36" s="54" t="s">
        <v>1749</v>
      </c>
    </row>
    <row r="37" spans="1:24" ht="13.5">
      <c r="A37" t="s">
        <v>3</v>
      </c>
      <c r="B37" t="s">
        <v>101</v>
      </c>
      <c r="C37" t="s">
        <v>207</v>
      </c>
      <c r="D37" t="s">
        <v>259</v>
      </c>
      <c r="E37" t="s">
        <v>207</v>
      </c>
      <c r="F37" t="s">
        <v>2</v>
      </c>
      <c r="G37" t="s">
        <v>101</v>
      </c>
      <c r="H37" t="s">
        <v>586</v>
      </c>
      <c r="I37" t="s">
        <v>206</v>
      </c>
      <c r="J37" t="s">
        <v>759</v>
      </c>
      <c r="K37" t="s">
        <v>840</v>
      </c>
      <c r="L37" t="s">
        <v>101</v>
      </c>
      <c r="M37" t="s">
        <v>3</v>
      </c>
      <c r="N37" t="s">
        <v>979</v>
      </c>
      <c r="O37" t="s">
        <v>1512</v>
      </c>
      <c r="P37" t="s">
        <v>1589</v>
      </c>
      <c r="Q37" t="s">
        <v>1208</v>
      </c>
      <c r="R37" s="31" t="s">
        <v>526</v>
      </c>
      <c r="S37" s="31" t="s">
        <v>663</v>
      </c>
      <c r="T37" s="31" t="s">
        <v>1668</v>
      </c>
      <c r="U37" s="53" t="s">
        <v>1342</v>
      </c>
      <c r="V37" s="51" t="s">
        <v>1343</v>
      </c>
      <c r="W37" s="50" t="s">
        <v>1342</v>
      </c>
      <c r="X37" s="54" t="s">
        <v>1750</v>
      </c>
    </row>
    <row r="38" spans="1:24" ht="13.5">
      <c r="A38" t="s">
        <v>4</v>
      </c>
      <c r="B38" t="s">
        <v>102</v>
      </c>
      <c r="C38" t="s">
        <v>208</v>
      </c>
      <c r="D38" t="s">
        <v>392</v>
      </c>
      <c r="E38" t="s">
        <v>391</v>
      </c>
      <c r="F38" t="s">
        <v>383</v>
      </c>
      <c r="G38" t="s">
        <v>4</v>
      </c>
      <c r="H38" t="s">
        <v>587</v>
      </c>
      <c r="I38" t="s">
        <v>4</v>
      </c>
      <c r="J38" t="s">
        <v>760</v>
      </c>
      <c r="K38" t="s">
        <v>960</v>
      </c>
      <c r="L38" t="s">
        <v>914</v>
      </c>
      <c r="M38" t="s">
        <v>4</v>
      </c>
      <c r="N38" t="s">
        <v>1171</v>
      </c>
      <c r="O38" t="s">
        <v>1513</v>
      </c>
      <c r="P38" t="s">
        <v>1590</v>
      </c>
      <c r="Q38" t="s">
        <v>1209</v>
      </c>
      <c r="R38" s="31" t="s">
        <v>527</v>
      </c>
      <c r="S38" s="31" t="s">
        <v>709</v>
      </c>
      <c r="T38" s="31" t="s">
        <v>1669</v>
      </c>
      <c r="U38" s="53" t="s">
        <v>1344</v>
      </c>
      <c r="V38" s="51" t="s">
        <v>1345</v>
      </c>
      <c r="W38" s="50" t="s">
        <v>1344</v>
      </c>
      <c r="X38" s="54" t="s">
        <v>1751</v>
      </c>
    </row>
    <row r="39" spans="1:24" ht="13.5">
      <c r="A39" t="s">
        <v>5</v>
      </c>
      <c r="B39" t="s">
        <v>103</v>
      </c>
      <c r="C39" t="s">
        <v>209</v>
      </c>
      <c r="D39" t="s">
        <v>209</v>
      </c>
      <c r="E39" t="s">
        <v>315</v>
      </c>
      <c r="F39" t="s">
        <v>384</v>
      </c>
      <c r="G39" t="s">
        <v>447</v>
      </c>
      <c r="H39" t="s">
        <v>588</v>
      </c>
      <c r="I39" t="s">
        <v>5</v>
      </c>
      <c r="J39" t="s">
        <v>103</v>
      </c>
      <c r="K39" t="s">
        <v>841</v>
      </c>
      <c r="L39" t="s">
        <v>915</v>
      </c>
      <c r="M39" t="s">
        <v>1121</v>
      </c>
      <c r="N39" t="s">
        <v>980</v>
      </c>
      <c r="O39" t="s">
        <v>1514</v>
      </c>
      <c r="P39" t="s">
        <v>1591</v>
      </c>
      <c r="Q39" t="s">
        <v>1210</v>
      </c>
      <c r="R39" s="31" t="s">
        <v>528</v>
      </c>
      <c r="S39" s="31" t="s">
        <v>664</v>
      </c>
      <c r="T39" s="31" t="s">
        <v>1670</v>
      </c>
      <c r="U39" s="53" t="s">
        <v>1346</v>
      </c>
      <c r="V39" s="51" t="s">
        <v>1347</v>
      </c>
      <c r="W39" s="50" t="s">
        <v>1348</v>
      </c>
      <c r="X39" s="54" t="s">
        <v>1752</v>
      </c>
    </row>
    <row r="40" spans="1:24" ht="13.5">
      <c r="A40" t="s">
        <v>104</v>
      </c>
      <c r="B40" t="s">
        <v>105</v>
      </c>
      <c r="C40" t="s">
        <v>210</v>
      </c>
      <c r="D40" t="s">
        <v>260</v>
      </c>
      <c r="E40" t="s">
        <v>316</v>
      </c>
      <c r="F40" t="s">
        <v>260</v>
      </c>
      <c r="G40" t="s">
        <v>448</v>
      </c>
      <c r="H40" t="s">
        <v>105</v>
      </c>
      <c r="I40" t="s">
        <v>1053</v>
      </c>
      <c r="J40" t="s">
        <v>761</v>
      </c>
      <c r="K40" t="s">
        <v>842</v>
      </c>
      <c r="L40" t="s">
        <v>916</v>
      </c>
      <c r="M40" t="s">
        <v>761</v>
      </c>
      <c r="N40" t="s">
        <v>1170</v>
      </c>
      <c r="O40" t="s">
        <v>1515</v>
      </c>
      <c r="P40" t="s">
        <v>1592</v>
      </c>
      <c r="Q40" t="s">
        <v>1211</v>
      </c>
      <c r="R40" s="31" t="s">
        <v>529</v>
      </c>
      <c r="S40" s="31" t="s">
        <v>665</v>
      </c>
      <c r="T40" s="31" t="s">
        <v>1671</v>
      </c>
      <c r="U40" s="53" t="s">
        <v>1349</v>
      </c>
      <c r="V40" s="51" t="s">
        <v>1350</v>
      </c>
      <c r="W40" s="50" t="s">
        <v>1351</v>
      </c>
      <c r="X40" s="54" t="s">
        <v>1753</v>
      </c>
    </row>
    <row r="41" spans="1:24" ht="13.5">
      <c r="A41" t="s">
        <v>19</v>
      </c>
      <c r="B41" t="s">
        <v>106</v>
      </c>
      <c r="C41" t="s">
        <v>211</v>
      </c>
      <c r="D41" t="s">
        <v>261</v>
      </c>
      <c r="E41" t="s">
        <v>317</v>
      </c>
      <c r="F41" t="s">
        <v>385</v>
      </c>
      <c r="G41" t="s">
        <v>451</v>
      </c>
      <c r="H41" t="s">
        <v>589</v>
      </c>
      <c r="I41" t="s">
        <v>1054</v>
      </c>
      <c r="J41" t="s">
        <v>762</v>
      </c>
      <c r="K41" t="s">
        <v>843</v>
      </c>
      <c r="L41" t="s">
        <v>917</v>
      </c>
      <c r="M41" t="s">
        <v>1122</v>
      </c>
      <c r="N41" t="s">
        <v>981</v>
      </c>
      <c r="O41" t="s">
        <v>1516</v>
      </c>
      <c r="P41" t="s">
        <v>1593</v>
      </c>
      <c r="Q41" t="s">
        <v>1212</v>
      </c>
      <c r="R41" s="31" t="s">
        <v>530</v>
      </c>
      <c r="S41" s="31" t="s">
        <v>666</v>
      </c>
      <c r="T41" s="31" t="s">
        <v>1672</v>
      </c>
      <c r="U41" s="53" t="s">
        <v>1352</v>
      </c>
      <c r="V41" s="53" t="s">
        <v>1353</v>
      </c>
      <c r="W41" s="50" t="s">
        <v>1354</v>
      </c>
      <c r="X41" s="54" t="s">
        <v>1754</v>
      </c>
    </row>
    <row r="42" spans="1:24" ht="13.5">
      <c r="A42" t="s">
        <v>13</v>
      </c>
      <c r="B42" t="s">
        <v>107</v>
      </c>
      <c r="C42" t="s">
        <v>711</v>
      </c>
      <c r="D42" t="s">
        <v>262</v>
      </c>
      <c r="E42" t="s">
        <v>318</v>
      </c>
      <c r="F42" t="s">
        <v>386</v>
      </c>
      <c r="G42" t="s">
        <v>452</v>
      </c>
      <c r="H42" t="s">
        <v>590</v>
      </c>
      <c r="I42" t="s">
        <v>1055</v>
      </c>
      <c r="J42" t="s">
        <v>763</v>
      </c>
      <c r="K42" t="s">
        <v>844</v>
      </c>
      <c r="L42" t="s">
        <v>918</v>
      </c>
      <c r="M42" t="s">
        <v>1123</v>
      </c>
      <c r="N42" t="s">
        <v>982</v>
      </c>
      <c r="O42" t="s">
        <v>1517</v>
      </c>
      <c r="P42" t="s">
        <v>1594</v>
      </c>
      <c r="Q42" t="s">
        <v>1213</v>
      </c>
      <c r="R42" s="31" t="s">
        <v>531</v>
      </c>
      <c r="S42" s="31" t="s">
        <v>667</v>
      </c>
      <c r="T42" s="31" t="s">
        <v>1673</v>
      </c>
      <c r="U42" s="53" t="s">
        <v>1355</v>
      </c>
      <c r="V42" s="53" t="s">
        <v>1356</v>
      </c>
      <c r="W42" s="50" t="s">
        <v>1357</v>
      </c>
      <c r="X42" s="54" t="s">
        <v>1755</v>
      </c>
    </row>
    <row r="43" spans="1:24" ht="13.5">
      <c r="A43" t="s">
        <v>14</v>
      </c>
      <c r="B43" t="s">
        <v>108</v>
      </c>
      <c r="C43" t="s">
        <v>712</v>
      </c>
      <c r="D43" t="s">
        <v>263</v>
      </c>
      <c r="E43" t="s">
        <v>319</v>
      </c>
      <c r="F43" t="s">
        <v>387</v>
      </c>
      <c r="G43" t="s">
        <v>449</v>
      </c>
      <c r="H43" t="s">
        <v>591</v>
      </c>
      <c r="I43" t="s">
        <v>1056</v>
      </c>
      <c r="J43" t="s">
        <v>764</v>
      </c>
      <c r="K43" t="s">
        <v>845</v>
      </c>
      <c r="L43" t="s">
        <v>919</v>
      </c>
      <c r="M43" t="s">
        <v>1124</v>
      </c>
      <c r="N43" t="s">
        <v>983</v>
      </c>
      <c r="O43" t="s">
        <v>1518</v>
      </c>
      <c r="P43" t="s">
        <v>1595</v>
      </c>
      <c r="Q43" t="s">
        <v>1214</v>
      </c>
      <c r="R43" s="31" t="s">
        <v>532</v>
      </c>
      <c r="S43" s="31" t="s">
        <v>668</v>
      </c>
      <c r="T43" s="31" t="s">
        <v>1674</v>
      </c>
      <c r="U43" s="53" t="s">
        <v>1358</v>
      </c>
      <c r="V43" s="53" t="s">
        <v>1359</v>
      </c>
      <c r="W43" s="50" t="s">
        <v>1360</v>
      </c>
      <c r="X43" s="54" t="s">
        <v>1756</v>
      </c>
    </row>
    <row r="44" spans="1:24" ht="13.5">
      <c r="A44" t="s">
        <v>15</v>
      </c>
      <c r="B44" t="s">
        <v>109</v>
      </c>
      <c r="C44" t="s">
        <v>713</v>
      </c>
      <c r="D44" t="s">
        <v>264</v>
      </c>
      <c r="E44" t="s">
        <v>320</v>
      </c>
      <c r="F44" t="s">
        <v>388</v>
      </c>
      <c r="G44" t="s">
        <v>450</v>
      </c>
      <c r="H44" t="s">
        <v>592</v>
      </c>
      <c r="I44" t="s">
        <v>1057</v>
      </c>
      <c r="J44" t="s">
        <v>765</v>
      </c>
      <c r="K44" t="s">
        <v>846</v>
      </c>
      <c r="L44" t="s">
        <v>920</v>
      </c>
      <c r="M44" t="s">
        <v>1125</v>
      </c>
      <c r="N44" t="s">
        <v>984</v>
      </c>
      <c r="O44" t="s">
        <v>1519</v>
      </c>
      <c r="P44" t="s">
        <v>1596</v>
      </c>
      <c r="Q44" t="s">
        <v>1215</v>
      </c>
      <c r="R44" s="31" t="s">
        <v>533</v>
      </c>
      <c r="S44" s="31" t="s">
        <v>669</v>
      </c>
      <c r="T44" s="31" t="s">
        <v>1675</v>
      </c>
      <c r="U44" s="53" t="s">
        <v>1361</v>
      </c>
      <c r="V44" s="51" t="s">
        <v>1362</v>
      </c>
      <c r="W44" s="50" t="s">
        <v>1363</v>
      </c>
      <c r="X44" s="54" t="s">
        <v>1757</v>
      </c>
    </row>
    <row r="45" spans="1:24" ht="13.5">
      <c r="A45" t="s">
        <v>16</v>
      </c>
      <c r="B45" t="s">
        <v>110</v>
      </c>
      <c r="C45" t="s">
        <v>212</v>
      </c>
      <c r="D45" t="s">
        <v>265</v>
      </c>
      <c r="E45" t="s">
        <v>321</v>
      </c>
      <c r="F45" t="s">
        <v>389</v>
      </c>
      <c r="G45" t="s">
        <v>453</v>
      </c>
      <c r="H45" t="s">
        <v>593</v>
      </c>
      <c r="I45" t="s">
        <v>1058</v>
      </c>
      <c r="J45" t="s">
        <v>766</v>
      </c>
      <c r="K45" t="s">
        <v>847</v>
      </c>
      <c r="L45" t="s">
        <v>921</v>
      </c>
      <c r="M45" t="s">
        <v>1126</v>
      </c>
      <c r="N45" t="s">
        <v>985</v>
      </c>
      <c r="O45" t="s">
        <v>1520</v>
      </c>
      <c r="P45" t="s">
        <v>1597</v>
      </c>
      <c r="Q45" t="s">
        <v>1216</v>
      </c>
      <c r="R45" s="31" t="s">
        <v>534</v>
      </c>
      <c r="S45" s="31" t="s">
        <v>670</v>
      </c>
      <c r="T45" s="31" t="s">
        <v>1676</v>
      </c>
      <c r="U45" s="53" t="s">
        <v>1364</v>
      </c>
      <c r="V45" s="51" t="s">
        <v>1365</v>
      </c>
      <c r="W45" s="50" t="s">
        <v>1366</v>
      </c>
      <c r="X45" s="54" t="s">
        <v>1758</v>
      </c>
    </row>
    <row r="46" spans="1:24" ht="13.5">
      <c r="A46" t="s">
        <v>17</v>
      </c>
      <c r="B46" t="s">
        <v>111</v>
      </c>
      <c r="C46" t="s">
        <v>111</v>
      </c>
      <c r="D46" t="s">
        <v>17</v>
      </c>
      <c r="E46" t="s">
        <v>111</v>
      </c>
      <c r="F46" t="s">
        <v>17</v>
      </c>
      <c r="G46" t="s">
        <v>111</v>
      </c>
      <c r="H46" t="s">
        <v>111</v>
      </c>
      <c r="I46" t="s">
        <v>17</v>
      </c>
      <c r="J46" t="s">
        <v>17</v>
      </c>
      <c r="K46" t="s">
        <v>848</v>
      </c>
      <c r="L46" t="s">
        <v>922</v>
      </c>
      <c r="M46" t="s">
        <v>111</v>
      </c>
      <c r="N46" t="s">
        <v>986</v>
      </c>
      <c r="O46" t="s">
        <v>1521</v>
      </c>
      <c r="P46" t="s">
        <v>17</v>
      </c>
      <c r="Q46" t="s">
        <v>1217</v>
      </c>
      <c r="R46" s="31" t="s">
        <v>535</v>
      </c>
      <c r="S46" s="31" t="s">
        <v>671</v>
      </c>
      <c r="T46" s="31" t="s">
        <v>1677</v>
      </c>
      <c r="U46" s="53" t="s">
        <v>1367</v>
      </c>
      <c r="V46" s="51" t="s">
        <v>1368</v>
      </c>
      <c r="W46" s="50" t="s">
        <v>1369</v>
      </c>
      <c r="X46" s="54" t="s">
        <v>1759</v>
      </c>
    </row>
    <row r="47" spans="1:24" ht="13.5">
      <c r="A47" t="s">
        <v>18</v>
      </c>
      <c r="B47" t="s">
        <v>116</v>
      </c>
      <c r="C47" t="s">
        <v>213</v>
      </c>
      <c r="D47" t="s">
        <v>266</v>
      </c>
      <c r="E47" t="s">
        <v>322</v>
      </c>
      <c r="F47" t="s">
        <v>390</v>
      </c>
      <c r="G47" t="s">
        <v>454</v>
      </c>
      <c r="H47" t="s">
        <v>594</v>
      </c>
      <c r="I47" t="s">
        <v>1059</v>
      </c>
      <c r="J47" t="s">
        <v>767</v>
      </c>
      <c r="K47" t="s">
        <v>849</v>
      </c>
      <c r="L47" t="s">
        <v>923</v>
      </c>
      <c r="M47" t="s">
        <v>1127</v>
      </c>
      <c r="N47" t="s">
        <v>987</v>
      </c>
      <c r="O47" t="s">
        <v>1522</v>
      </c>
      <c r="P47" t="s">
        <v>1598</v>
      </c>
      <c r="Q47" t="s">
        <v>1218</v>
      </c>
      <c r="R47" s="31" t="s">
        <v>536</v>
      </c>
      <c r="S47" s="31" t="s">
        <v>672</v>
      </c>
      <c r="T47" s="31" t="s">
        <v>1678</v>
      </c>
      <c r="U47" s="49" t="s">
        <v>1370</v>
      </c>
      <c r="V47" s="49" t="s">
        <v>1371</v>
      </c>
      <c r="W47" s="50" t="s">
        <v>1372</v>
      </c>
      <c r="X47" s="54" t="s">
        <v>1760</v>
      </c>
    </row>
    <row r="48" spans="1:24" ht="12">
      <c r="A48" t="s">
        <v>117</v>
      </c>
      <c r="B48" t="s">
        <v>119</v>
      </c>
      <c r="C48" t="s">
        <v>214</v>
      </c>
      <c r="D48" t="s">
        <v>267</v>
      </c>
      <c r="E48" t="s">
        <v>323</v>
      </c>
      <c r="F48" t="s">
        <v>393</v>
      </c>
      <c r="G48" t="s">
        <v>455</v>
      </c>
      <c r="H48" t="s">
        <v>595</v>
      </c>
      <c r="I48" t="s">
        <v>1060</v>
      </c>
      <c r="J48" t="s">
        <v>768</v>
      </c>
      <c r="K48" t="s">
        <v>850</v>
      </c>
      <c r="L48" t="s">
        <v>924</v>
      </c>
      <c r="M48" t="s">
        <v>1128</v>
      </c>
      <c r="N48" t="s">
        <v>988</v>
      </c>
      <c r="O48" t="s">
        <v>1523</v>
      </c>
      <c r="P48" t="s">
        <v>1599</v>
      </c>
      <c r="Q48" t="s">
        <v>1219</v>
      </c>
      <c r="R48" s="31" t="s">
        <v>537</v>
      </c>
      <c r="S48" s="31" t="s">
        <v>673</v>
      </c>
      <c r="T48" s="31" t="s">
        <v>1679</v>
      </c>
      <c r="U48" s="49" t="s">
        <v>1373</v>
      </c>
      <c r="V48" s="49" t="s">
        <v>1374</v>
      </c>
      <c r="W48" s="50" t="s">
        <v>1375</v>
      </c>
      <c r="X48" s="54" t="s">
        <v>1761</v>
      </c>
    </row>
    <row r="49" spans="1:24" ht="13.5">
      <c r="A49" t="s">
        <v>118</v>
      </c>
      <c r="B49" t="s">
        <v>120</v>
      </c>
      <c r="C49" t="s">
        <v>223</v>
      </c>
      <c r="D49" t="s">
        <v>803</v>
      </c>
      <c r="E49" t="s">
        <v>331</v>
      </c>
      <c r="F49" t="s">
        <v>401</v>
      </c>
      <c r="G49" t="s">
        <v>456</v>
      </c>
      <c r="H49" t="s">
        <v>596</v>
      </c>
      <c r="I49" t="s">
        <v>1061</v>
      </c>
      <c r="J49" t="s">
        <v>769</v>
      </c>
      <c r="K49" t="s">
        <v>851</v>
      </c>
      <c r="L49" t="s">
        <v>925</v>
      </c>
      <c r="M49" t="s">
        <v>1129</v>
      </c>
      <c r="N49" t="s">
        <v>989</v>
      </c>
      <c r="O49" t="s">
        <v>1524</v>
      </c>
      <c r="P49" t="s">
        <v>1600</v>
      </c>
      <c r="Q49" t="s">
        <v>1220</v>
      </c>
      <c r="R49" s="31" t="s">
        <v>538</v>
      </c>
      <c r="S49" s="31" t="s">
        <v>674</v>
      </c>
      <c r="T49" s="31" t="s">
        <v>1680</v>
      </c>
      <c r="U49" s="49" t="s">
        <v>1376</v>
      </c>
      <c r="V49" s="49" t="s">
        <v>1377</v>
      </c>
      <c r="W49" s="50" t="s">
        <v>1378</v>
      </c>
      <c r="X49" s="54" t="s">
        <v>1762</v>
      </c>
    </row>
    <row r="50" spans="1:24" ht="13.5">
      <c r="A50" t="s">
        <v>121</v>
      </c>
      <c r="B50" t="s">
        <v>122</v>
      </c>
      <c r="C50" t="s">
        <v>215</v>
      </c>
      <c r="D50" t="s">
        <v>268</v>
      </c>
      <c r="E50" t="s">
        <v>324</v>
      </c>
      <c r="F50" t="s">
        <v>394</v>
      </c>
      <c r="G50" t="s">
        <v>457</v>
      </c>
      <c r="H50" t="s">
        <v>597</v>
      </c>
      <c r="I50" t="s">
        <v>1062</v>
      </c>
      <c r="J50" t="s">
        <v>770</v>
      </c>
      <c r="K50" t="s">
        <v>852</v>
      </c>
      <c r="L50" t="s">
        <v>926</v>
      </c>
      <c r="M50" t="s">
        <v>1130</v>
      </c>
      <c r="N50" t="s">
        <v>990</v>
      </c>
      <c r="O50" t="s">
        <v>1525</v>
      </c>
      <c r="P50" t="s">
        <v>1601</v>
      </c>
      <c r="Q50" t="s">
        <v>1221</v>
      </c>
      <c r="R50" s="31" t="s">
        <v>539</v>
      </c>
      <c r="S50" s="31" t="s">
        <v>675</v>
      </c>
      <c r="T50" s="31" t="s">
        <v>1681</v>
      </c>
      <c r="U50" s="49" t="s">
        <v>1379</v>
      </c>
      <c r="V50" s="49" t="s">
        <v>1380</v>
      </c>
      <c r="W50" s="50" t="s">
        <v>1381</v>
      </c>
      <c r="X50" s="54" t="s">
        <v>1763</v>
      </c>
    </row>
    <row r="51" spans="1:24" ht="13.5">
      <c r="A51" t="s">
        <v>123</v>
      </c>
      <c r="B51" t="s">
        <v>124</v>
      </c>
      <c r="C51" t="s">
        <v>222</v>
      </c>
      <c r="D51" t="s">
        <v>275</v>
      </c>
      <c r="E51" t="s">
        <v>332</v>
      </c>
      <c r="F51" t="s">
        <v>402</v>
      </c>
      <c r="G51" t="s">
        <v>458</v>
      </c>
      <c r="H51" t="s">
        <v>598</v>
      </c>
      <c r="I51" t="s">
        <v>1063</v>
      </c>
      <c r="J51" t="s">
        <v>771</v>
      </c>
      <c r="K51" t="s">
        <v>853</v>
      </c>
      <c r="L51" t="s">
        <v>927</v>
      </c>
      <c r="M51" t="s">
        <v>1131</v>
      </c>
      <c r="N51" t="s">
        <v>991</v>
      </c>
      <c r="O51" t="s">
        <v>1526</v>
      </c>
      <c r="P51" t="s">
        <v>1602</v>
      </c>
      <c r="Q51" t="s">
        <v>1222</v>
      </c>
      <c r="R51" s="31" t="s">
        <v>540</v>
      </c>
      <c r="S51" s="31" t="s">
        <v>676</v>
      </c>
      <c r="T51" s="31" t="s">
        <v>1682</v>
      </c>
      <c r="U51" s="49" t="s">
        <v>1382</v>
      </c>
      <c r="V51" s="49" t="s">
        <v>1383</v>
      </c>
      <c r="W51" s="50" t="s">
        <v>1384</v>
      </c>
      <c r="X51" s="54" t="s">
        <v>1764</v>
      </c>
    </row>
    <row r="52" spans="1:24" ht="13.5">
      <c r="A52" t="s">
        <v>125</v>
      </c>
      <c r="B52" t="s">
        <v>126</v>
      </c>
      <c r="C52" t="s">
        <v>216</v>
      </c>
      <c r="D52" t="s">
        <v>269</v>
      </c>
      <c r="E52" t="s">
        <v>325</v>
      </c>
      <c r="F52" t="s">
        <v>395</v>
      </c>
      <c r="G52" t="s">
        <v>459</v>
      </c>
      <c r="H52" t="s">
        <v>599</v>
      </c>
      <c r="I52" t="s">
        <v>1064</v>
      </c>
      <c r="J52" t="s">
        <v>772</v>
      </c>
      <c r="K52" t="s">
        <v>854</v>
      </c>
      <c r="L52" t="s">
        <v>928</v>
      </c>
      <c r="M52" t="s">
        <v>1132</v>
      </c>
      <c r="N52" t="s">
        <v>992</v>
      </c>
      <c r="O52" t="s">
        <v>1527</v>
      </c>
      <c r="P52" t="s">
        <v>1603</v>
      </c>
      <c r="Q52" t="s">
        <v>1223</v>
      </c>
      <c r="R52" s="31" t="s">
        <v>541</v>
      </c>
      <c r="S52" s="31" t="s">
        <v>677</v>
      </c>
      <c r="T52" s="31" t="s">
        <v>1683</v>
      </c>
      <c r="U52" s="49" t="s">
        <v>1385</v>
      </c>
      <c r="V52" s="49" t="s">
        <v>1386</v>
      </c>
      <c r="W52" s="50" t="s">
        <v>1387</v>
      </c>
      <c r="X52" s="54" t="s">
        <v>1765</v>
      </c>
    </row>
    <row r="53" spans="1:24" ht="13.5">
      <c r="A53" t="s">
        <v>127</v>
      </c>
      <c r="B53" t="s">
        <v>128</v>
      </c>
      <c r="C53" t="s">
        <v>224</v>
      </c>
      <c r="D53" t="s">
        <v>276</v>
      </c>
      <c r="E53" t="s">
        <v>333</v>
      </c>
      <c r="F53" t="s">
        <v>403</v>
      </c>
      <c r="G53" t="s">
        <v>460</v>
      </c>
      <c r="H53" t="s">
        <v>600</v>
      </c>
      <c r="I53" t="s">
        <v>1065</v>
      </c>
      <c r="J53" t="s">
        <v>773</v>
      </c>
      <c r="K53" t="s">
        <v>855</v>
      </c>
      <c r="L53" t="s">
        <v>929</v>
      </c>
      <c r="M53" t="s">
        <v>1133</v>
      </c>
      <c r="N53" t="s">
        <v>993</v>
      </c>
      <c r="O53" t="s">
        <v>1528</v>
      </c>
      <c r="P53" t="s">
        <v>1604</v>
      </c>
      <c r="Q53" t="s">
        <v>1224</v>
      </c>
      <c r="R53" s="31" t="s">
        <v>542</v>
      </c>
      <c r="S53" s="31" t="s">
        <v>678</v>
      </c>
      <c r="T53" s="31" t="s">
        <v>1684</v>
      </c>
      <c r="U53" s="49" t="s">
        <v>1388</v>
      </c>
      <c r="V53" s="49" t="s">
        <v>1389</v>
      </c>
      <c r="W53" s="50" t="s">
        <v>1390</v>
      </c>
      <c r="X53" s="54" t="s">
        <v>1766</v>
      </c>
    </row>
    <row r="54" spans="1:24" ht="13.5">
      <c r="A54" t="s">
        <v>129</v>
      </c>
      <c r="B54" t="s">
        <v>130</v>
      </c>
      <c r="C54" t="s">
        <v>217</v>
      </c>
      <c r="D54" s="26" t="s">
        <v>270</v>
      </c>
      <c r="E54" s="26" t="s">
        <v>326</v>
      </c>
      <c r="F54" s="26" t="s">
        <v>396</v>
      </c>
      <c r="G54" t="s">
        <v>461</v>
      </c>
      <c r="H54" t="s">
        <v>601</v>
      </c>
      <c r="I54" t="s">
        <v>1066</v>
      </c>
      <c r="J54" t="s">
        <v>774</v>
      </c>
      <c r="K54" t="s">
        <v>856</v>
      </c>
      <c r="L54" t="s">
        <v>930</v>
      </c>
      <c r="M54" t="s">
        <v>1134</v>
      </c>
      <c r="N54" t="s">
        <v>994</v>
      </c>
      <c r="O54" t="s">
        <v>1529</v>
      </c>
      <c r="P54" t="s">
        <v>1605</v>
      </c>
      <c r="Q54" t="s">
        <v>1225</v>
      </c>
      <c r="R54" s="31" t="s">
        <v>543</v>
      </c>
      <c r="S54" s="31" t="s">
        <v>679</v>
      </c>
      <c r="T54" s="31" t="s">
        <v>1685</v>
      </c>
      <c r="U54" s="49" t="s">
        <v>1391</v>
      </c>
      <c r="V54" s="49" t="s">
        <v>1392</v>
      </c>
      <c r="W54" s="50" t="s">
        <v>1393</v>
      </c>
      <c r="X54" s="54" t="s">
        <v>1767</v>
      </c>
    </row>
    <row r="55" spans="1:24" ht="13.5">
      <c r="A55" t="s">
        <v>131</v>
      </c>
      <c r="B55" t="s">
        <v>132</v>
      </c>
      <c r="C55" t="s">
        <v>225</v>
      </c>
      <c r="D55" s="26" t="s">
        <v>277</v>
      </c>
      <c r="E55" s="26" t="s">
        <v>334</v>
      </c>
      <c r="F55" s="26" t="s">
        <v>405</v>
      </c>
      <c r="G55" t="s">
        <v>462</v>
      </c>
      <c r="H55" t="s">
        <v>602</v>
      </c>
      <c r="I55" t="s">
        <v>1067</v>
      </c>
      <c r="J55" t="s">
        <v>775</v>
      </c>
      <c r="K55" t="s">
        <v>857</v>
      </c>
      <c r="L55" t="s">
        <v>931</v>
      </c>
      <c r="M55" t="s">
        <v>1135</v>
      </c>
      <c r="N55" t="s">
        <v>995</v>
      </c>
      <c r="O55" t="s">
        <v>1530</v>
      </c>
      <c r="P55" t="s">
        <v>1606</v>
      </c>
      <c r="Q55" t="s">
        <v>1226</v>
      </c>
      <c r="R55" s="31" t="s">
        <v>544</v>
      </c>
      <c r="S55" s="31" t="s">
        <v>680</v>
      </c>
      <c r="T55" s="31" t="s">
        <v>1686</v>
      </c>
      <c r="U55" s="49" t="s">
        <v>1394</v>
      </c>
      <c r="V55" s="49" t="s">
        <v>1395</v>
      </c>
      <c r="W55" s="50" t="s">
        <v>1396</v>
      </c>
      <c r="X55" s="54" t="s">
        <v>1768</v>
      </c>
    </row>
    <row r="56" spans="1:24" ht="13.5">
      <c r="A56" t="s">
        <v>133</v>
      </c>
      <c r="B56" t="s">
        <v>134</v>
      </c>
      <c r="C56" t="s">
        <v>218</v>
      </c>
      <c r="D56" t="s">
        <v>271</v>
      </c>
      <c r="E56" t="s">
        <v>327</v>
      </c>
      <c r="F56" t="s">
        <v>397</v>
      </c>
      <c r="G56" t="s">
        <v>463</v>
      </c>
      <c r="H56" t="s">
        <v>603</v>
      </c>
      <c r="I56" t="s">
        <v>1068</v>
      </c>
      <c r="J56" t="s">
        <v>776</v>
      </c>
      <c r="K56" t="s">
        <v>858</v>
      </c>
      <c r="L56" t="s">
        <v>932</v>
      </c>
      <c r="M56" t="s">
        <v>1136</v>
      </c>
      <c r="N56" t="s">
        <v>996</v>
      </c>
      <c r="O56" t="s">
        <v>1531</v>
      </c>
      <c r="P56" t="s">
        <v>1607</v>
      </c>
      <c r="Q56" t="s">
        <v>1227</v>
      </c>
      <c r="R56" s="31" t="s">
        <v>545</v>
      </c>
      <c r="S56" s="31" t="s">
        <v>681</v>
      </c>
      <c r="T56" s="31" t="s">
        <v>1687</v>
      </c>
      <c r="U56" s="49" t="s">
        <v>1397</v>
      </c>
      <c r="V56" s="49" t="s">
        <v>1398</v>
      </c>
      <c r="W56" s="50" t="s">
        <v>1399</v>
      </c>
      <c r="X56" s="54" t="s">
        <v>1769</v>
      </c>
    </row>
    <row r="57" spans="1:24" ht="13.5">
      <c r="A57" t="s">
        <v>135</v>
      </c>
      <c r="B57" t="s">
        <v>136</v>
      </c>
      <c r="C57" t="s">
        <v>226</v>
      </c>
      <c r="D57" t="s">
        <v>278</v>
      </c>
      <c r="E57" t="s">
        <v>335</v>
      </c>
      <c r="F57" t="s">
        <v>404</v>
      </c>
      <c r="G57" t="s">
        <v>464</v>
      </c>
      <c r="H57" t="s">
        <v>604</v>
      </c>
      <c r="I57" t="s">
        <v>1069</v>
      </c>
      <c r="J57" t="s">
        <v>777</v>
      </c>
      <c r="K57" t="s">
        <v>859</v>
      </c>
      <c r="L57" t="s">
        <v>933</v>
      </c>
      <c r="M57" t="s">
        <v>1137</v>
      </c>
      <c r="N57" t="s">
        <v>997</v>
      </c>
      <c r="O57" t="s">
        <v>1532</v>
      </c>
      <c r="P57" t="s">
        <v>1608</v>
      </c>
      <c r="Q57" t="s">
        <v>1228</v>
      </c>
      <c r="R57" s="31" t="s">
        <v>546</v>
      </c>
      <c r="S57" s="31" t="s">
        <v>682</v>
      </c>
      <c r="T57" s="31" t="s">
        <v>1688</v>
      </c>
      <c r="U57" s="49" t="s">
        <v>1400</v>
      </c>
      <c r="V57" s="49" t="s">
        <v>1401</v>
      </c>
      <c r="W57" s="50" t="s">
        <v>1402</v>
      </c>
      <c r="X57" s="54" t="s">
        <v>1770</v>
      </c>
    </row>
    <row r="58" spans="1:24" ht="13.5">
      <c r="A58" t="s">
        <v>137</v>
      </c>
      <c r="B58" t="s">
        <v>138</v>
      </c>
      <c r="C58" t="s">
        <v>219</v>
      </c>
      <c r="D58" t="s">
        <v>272</v>
      </c>
      <c r="E58" t="s">
        <v>330</v>
      </c>
      <c r="F58" t="s">
        <v>398</v>
      </c>
      <c r="G58" t="s">
        <v>465</v>
      </c>
      <c r="H58" t="s">
        <v>605</v>
      </c>
      <c r="I58" t="s">
        <v>1070</v>
      </c>
      <c r="J58" t="s">
        <v>778</v>
      </c>
      <c r="K58" t="s">
        <v>860</v>
      </c>
      <c r="L58" t="s">
        <v>934</v>
      </c>
      <c r="M58" t="s">
        <v>1138</v>
      </c>
      <c r="N58" t="s">
        <v>998</v>
      </c>
      <c r="O58" t="s">
        <v>1533</v>
      </c>
      <c r="P58" t="s">
        <v>1609</v>
      </c>
      <c r="Q58" t="s">
        <v>1229</v>
      </c>
      <c r="R58" s="31" t="s">
        <v>547</v>
      </c>
      <c r="S58" s="31" t="s">
        <v>683</v>
      </c>
      <c r="T58" s="31" t="s">
        <v>1689</v>
      </c>
      <c r="U58" s="49" t="s">
        <v>1403</v>
      </c>
      <c r="V58" s="49" t="s">
        <v>1404</v>
      </c>
      <c r="W58" s="50" t="s">
        <v>1405</v>
      </c>
      <c r="X58" s="54" t="s">
        <v>1771</v>
      </c>
    </row>
    <row r="59" spans="1:24" ht="13.5">
      <c r="A59" t="s">
        <v>139</v>
      </c>
      <c r="B59" t="s">
        <v>140</v>
      </c>
      <c r="C59" t="s">
        <v>227</v>
      </c>
      <c r="D59" t="s">
        <v>279</v>
      </c>
      <c r="E59" t="s">
        <v>336</v>
      </c>
      <c r="F59" t="s">
        <v>406</v>
      </c>
      <c r="G59" t="s">
        <v>466</v>
      </c>
      <c r="H59" t="s">
        <v>606</v>
      </c>
      <c r="I59" t="s">
        <v>1071</v>
      </c>
      <c r="J59" t="s">
        <v>779</v>
      </c>
      <c r="K59" t="s">
        <v>861</v>
      </c>
      <c r="L59" t="s">
        <v>935</v>
      </c>
      <c r="M59" t="s">
        <v>1139</v>
      </c>
      <c r="N59" t="s">
        <v>999</v>
      </c>
      <c r="O59" t="s">
        <v>1534</v>
      </c>
      <c r="P59" t="s">
        <v>1610</v>
      </c>
      <c r="Q59" t="s">
        <v>1230</v>
      </c>
      <c r="R59" s="31" t="s">
        <v>548</v>
      </c>
      <c r="S59" s="31" t="s">
        <v>684</v>
      </c>
      <c r="T59" s="31" t="s">
        <v>1690</v>
      </c>
      <c r="U59" s="49" t="s">
        <v>1406</v>
      </c>
      <c r="V59" s="49" t="s">
        <v>1407</v>
      </c>
      <c r="W59" s="50" t="s">
        <v>1408</v>
      </c>
      <c r="X59" s="54" t="s">
        <v>1772</v>
      </c>
    </row>
    <row r="60" spans="1:24" ht="13.5">
      <c r="A60" t="s">
        <v>141</v>
      </c>
      <c r="B60" t="s">
        <v>142</v>
      </c>
      <c r="C60" t="s">
        <v>220</v>
      </c>
      <c r="D60" t="s">
        <v>273</v>
      </c>
      <c r="E60" t="s">
        <v>328</v>
      </c>
      <c r="F60" t="s">
        <v>399</v>
      </c>
      <c r="G60" t="s">
        <v>467</v>
      </c>
      <c r="H60" t="s">
        <v>607</v>
      </c>
      <c r="I60" t="s">
        <v>1072</v>
      </c>
      <c r="J60" t="s">
        <v>780</v>
      </c>
      <c r="K60" t="s">
        <v>862</v>
      </c>
      <c r="L60" t="s">
        <v>936</v>
      </c>
      <c r="M60" t="s">
        <v>1140</v>
      </c>
      <c r="N60" t="s">
        <v>1000</v>
      </c>
      <c r="O60" t="s">
        <v>1535</v>
      </c>
      <c r="P60" t="s">
        <v>1611</v>
      </c>
      <c r="Q60" t="s">
        <v>1231</v>
      </c>
      <c r="R60" s="31" t="s">
        <v>549</v>
      </c>
      <c r="S60" s="31" t="s">
        <v>685</v>
      </c>
      <c r="T60" s="31" t="s">
        <v>1691</v>
      </c>
      <c r="U60" s="49" t="s">
        <v>1409</v>
      </c>
      <c r="V60" s="49" t="s">
        <v>1410</v>
      </c>
      <c r="W60" s="50" t="s">
        <v>1411</v>
      </c>
      <c r="X60" s="54" t="s">
        <v>1773</v>
      </c>
    </row>
    <row r="61" spans="1:24" ht="13.5">
      <c r="A61" t="s">
        <v>143</v>
      </c>
      <c r="B61" t="s">
        <v>144</v>
      </c>
      <c r="C61" t="s">
        <v>228</v>
      </c>
      <c r="D61" t="s">
        <v>280</v>
      </c>
      <c r="E61" t="s">
        <v>337</v>
      </c>
      <c r="F61" t="s">
        <v>407</v>
      </c>
      <c r="G61" t="s">
        <v>468</v>
      </c>
      <c r="H61" t="s">
        <v>608</v>
      </c>
      <c r="I61" t="s">
        <v>1073</v>
      </c>
      <c r="J61" t="s">
        <v>781</v>
      </c>
      <c r="K61" t="s">
        <v>863</v>
      </c>
      <c r="L61" t="s">
        <v>937</v>
      </c>
      <c r="M61" t="s">
        <v>1141</v>
      </c>
      <c r="N61" t="s">
        <v>1001</v>
      </c>
      <c r="O61" t="s">
        <v>1536</v>
      </c>
      <c r="P61" t="s">
        <v>1612</v>
      </c>
      <c r="Q61" t="s">
        <v>1232</v>
      </c>
      <c r="R61" s="31" t="s">
        <v>550</v>
      </c>
      <c r="S61" s="31" t="s">
        <v>686</v>
      </c>
      <c r="T61" s="31" t="s">
        <v>1692</v>
      </c>
      <c r="U61" s="49" t="s">
        <v>1412</v>
      </c>
      <c r="V61" s="49" t="s">
        <v>1413</v>
      </c>
      <c r="W61" s="50" t="s">
        <v>1414</v>
      </c>
      <c r="X61" s="54" t="s">
        <v>1774</v>
      </c>
    </row>
    <row r="62" spans="1:24" ht="13.5">
      <c r="A62" t="s">
        <v>145</v>
      </c>
      <c r="B62" t="s">
        <v>146</v>
      </c>
      <c r="C62" t="s">
        <v>221</v>
      </c>
      <c r="D62" t="s">
        <v>274</v>
      </c>
      <c r="E62" t="s">
        <v>329</v>
      </c>
      <c r="F62" t="s">
        <v>400</v>
      </c>
      <c r="G62" t="s">
        <v>469</v>
      </c>
      <c r="H62" t="s">
        <v>609</v>
      </c>
      <c r="I62" t="s">
        <v>1074</v>
      </c>
      <c r="J62" t="s">
        <v>782</v>
      </c>
      <c r="K62" t="s">
        <v>864</v>
      </c>
      <c r="L62" t="s">
        <v>938</v>
      </c>
      <c r="M62" t="s">
        <v>1142</v>
      </c>
      <c r="N62" t="s">
        <v>1002</v>
      </c>
      <c r="O62" t="s">
        <v>1537</v>
      </c>
      <c r="P62" t="s">
        <v>1613</v>
      </c>
      <c r="Q62" t="s">
        <v>1233</v>
      </c>
      <c r="R62" s="31" t="s">
        <v>551</v>
      </c>
      <c r="S62" s="31" t="s">
        <v>687</v>
      </c>
      <c r="T62" s="31" t="s">
        <v>1693</v>
      </c>
      <c r="U62" s="49" t="s">
        <v>1415</v>
      </c>
      <c r="V62" s="49" t="s">
        <v>1416</v>
      </c>
      <c r="W62" s="50" t="s">
        <v>1417</v>
      </c>
      <c r="X62" s="54" t="s">
        <v>1775</v>
      </c>
    </row>
    <row r="63" spans="1:24" ht="13.5">
      <c r="A63" t="s">
        <v>147</v>
      </c>
      <c r="B63" t="s">
        <v>148</v>
      </c>
      <c r="C63" t="s">
        <v>229</v>
      </c>
      <c r="D63" t="s">
        <v>281</v>
      </c>
      <c r="E63" t="s">
        <v>338</v>
      </c>
      <c r="F63" t="s">
        <v>408</v>
      </c>
      <c r="G63" t="s">
        <v>470</v>
      </c>
      <c r="H63" t="s">
        <v>610</v>
      </c>
      <c r="I63" t="s">
        <v>1075</v>
      </c>
      <c r="J63" t="s">
        <v>783</v>
      </c>
      <c r="K63" t="s">
        <v>865</v>
      </c>
      <c r="L63" t="s">
        <v>939</v>
      </c>
      <c r="M63" t="s">
        <v>1143</v>
      </c>
      <c r="N63" t="s">
        <v>1003</v>
      </c>
      <c r="O63" t="s">
        <v>1538</v>
      </c>
      <c r="P63" t="s">
        <v>1614</v>
      </c>
      <c r="Q63" t="s">
        <v>1234</v>
      </c>
      <c r="R63" s="31" t="s">
        <v>552</v>
      </c>
      <c r="S63" s="31" t="s">
        <v>688</v>
      </c>
      <c r="T63" s="31" t="s">
        <v>1694</v>
      </c>
      <c r="U63" s="49" t="s">
        <v>1418</v>
      </c>
      <c r="V63" s="49" t="s">
        <v>1419</v>
      </c>
      <c r="W63" s="50" t="s">
        <v>1420</v>
      </c>
      <c r="X63" s="54" t="s">
        <v>1776</v>
      </c>
    </row>
    <row r="64" spans="1:24" ht="13.5">
      <c r="A64" t="s">
        <v>149</v>
      </c>
      <c r="B64" t="s">
        <v>157</v>
      </c>
      <c r="C64" t="s">
        <v>714</v>
      </c>
      <c r="D64" t="s">
        <v>282</v>
      </c>
      <c r="E64" t="s">
        <v>339</v>
      </c>
      <c r="F64" t="s">
        <v>409</v>
      </c>
      <c r="G64" t="s">
        <v>471</v>
      </c>
      <c r="H64" t="s">
        <v>611</v>
      </c>
      <c r="I64" t="s">
        <v>1076</v>
      </c>
      <c r="J64" t="s">
        <v>784</v>
      </c>
      <c r="K64" t="s">
        <v>866</v>
      </c>
      <c r="L64" t="s">
        <v>940</v>
      </c>
      <c r="M64" t="s">
        <v>1144</v>
      </c>
      <c r="N64" t="s">
        <v>1004</v>
      </c>
      <c r="O64" t="s">
        <v>1539</v>
      </c>
      <c r="P64" t="s">
        <v>1615</v>
      </c>
      <c r="Q64" t="s">
        <v>1235</v>
      </c>
      <c r="R64" s="31" t="s">
        <v>553</v>
      </c>
      <c r="S64" s="31" t="s">
        <v>689</v>
      </c>
      <c r="T64" s="31" t="s">
        <v>1695</v>
      </c>
      <c r="U64" s="49" t="s">
        <v>1421</v>
      </c>
      <c r="V64" s="49" t="s">
        <v>1422</v>
      </c>
      <c r="W64" s="50" t="s">
        <v>1423</v>
      </c>
      <c r="X64" s="54" t="s">
        <v>1777</v>
      </c>
    </row>
    <row r="65" spans="1:24" ht="13.5">
      <c r="A65" t="s">
        <v>150</v>
      </c>
      <c r="B65" t="s">
        <v>158</v>
      </c>
      <c r="C65" t="s">
        <v>715</v>
      </c>
      <c r="D65" t="s">
        <v>283</v>
      </c>
      <c r="E65" t="s">
        <v>340</v>
      </c>
      <c r="F65" t="s">
        <v>410</v>
      </c>
      <c r="G65" t="s">
        <v>472</v>
      </c>
      <c r="H65" t="s">
        <v>612</v>
      </c>
      <c r="I65" t="s">
        <v>1077</v>
      </c>
      <c r="J65" t="s">
        <v>785</v>
      </c>
      <c r="K65" t="s">
        <v>867</v>
      </c>
      <c r="L65" t="s">
        <v>941</v>
      </c>
      <c r="M65" t="s">
        <v>1145</v>
      </c>
      <c r="N65" t="s">
        <v>1005</v>
      </c>
      <c r="O65" t="s">
        <v>1540</v>
      </c>
      <c r="P65" t="s">
        <v>1616</v>
      </c>
      <c r="Q65" t="s">
        <v>1236</v>
      </c>
      <c r="R65" s="31" t="s">
        <v>554</v>
      </c>
      <c r="S65" s="31" t="s">
        <v>690</v>
      </c>
      <c r="T65" s="31" t="s">
        <v>1696</v>
      </c>
      <c r="U65" s="49" t="s">
        <v>1424</v>
      </c>
      <c r="V65" s="49" t="s">
        <v>1425</v>
      </c>
      <c r="W65" s="50" t="s">
        <v>1426</v>
      </c>
      <c r="X65" s="54" t="s">
        <v>1778</v>
      </c>
    </row>
    <row r="66" spans="1:24" ht="13.5">
      <c r="A66" t="s">
        <v>151</v>
      </c>
      <c r="B66" t="s">
        <v>159</v>
      </c>
      <c r="C66" t="s">
        <v>716</v>
      </c>
      <c r="D66" t="s">
        <v>284</v>
      </c>
      <c r="E66" t="s">
        <v>341</v>
      </c>
      <c r="F66" t="s">
        <v>411</v>
      </c>
      <c r="G66" t="s">
        <v>473</v>
      </c>
      <c r="H66" t="s">
        <v>613</v>
      </c>
      <c r="I66" t="s">
        <v>1078</v>
      </c>
      <c r="J66" t="s">
        <v>786</v>
      </c>
      <c r="K66" t="s">
        <v>868</v>
      </c>
      <c r="L66" t="s">
        <v>942</v>
      </c>
      <c r="M66" t="s">
        <v>1146</v>
      </c>
      <c r="N66" t="s">
        <v>1006</v>
      </c>
      <c r="O66" t="s">
        <v>1541</v>
      </c>
      <c r="P66" t="s">
        <v>1617</v>
      </c>
      <c r="Q66" t="s">
        <v>1237</v>
      </c>
      <c r="R66" s="31" t="s">
        <v>555</v>
      </c>
      <c r="S66" s="31" t="s">
        <v>691</v>
      </c>
      <c r="T66" s="31" t="s">
        <v>1697</v>
      </c>
      <c r="U66" s="49" t="s">
        <v>1427</v>
      </c>
      <c r="V66" s="49" t="s">
        <v>1428</v>
      </c>
      <c r="W66" s="50" t="s">
        <v>1429</v>
      </c>
      <c r="X66" s="54" t="s">
        <v>1779</v>
      </c>
    </row>
    <row r="67" spans="1:24" ht="13.5">
      <c r="A67" t="s">
        <v>152</v>
      </c>
      <c r="B67" t="s">
        <v>160</v>
      </c>
      <c r="C67" t="s">
        <v>717</v>
      </c>
      <c r="D67" t="s">
        <v>285</v>
      </c>
      <c r="E67" t="s">
        <v>342</v>
      </c>
      <c r="F67" t="s">
        <v>412</v>
      </c>
      <c r="G67" t="s">
        <v>474</v>
      </c>
      <c r="H67" t="s">
        <v>614</v>
      </c>
      <c r="I67" t="s">
        <v>1079</v>
      </c>
      <c r="J67" t="s">
        <v>787</v>
      </c>
      <c r="K67" t="s">
        <v>869</v>
      </c>
      <c r="L67" t="s">
        <v>943</v>
      </c>
      <c r="M67" t="s">
        <v>1147</v>
      </c>
      <c r="N67" t="s">
        <v>1007</v>
      </c>
      <c r="O67" t="s">
        <v>1542</v>
      </c>
      <c r="P67" t="s">
        <v>1618</v>
      </c>
      <c r="Q67" t="s">
        <v>1238</v>
      </c>
      <c r="R67" s="31" t="s">
        <v>556</v>
      </c>
      <c r="S67" s="31" t="s">
        <v>692</v>
      </c>
      <c r="T67" s="31" t="s">
        <v>1698</v>
      </c>
      <c r="U67" s="49" t="s">
        <v>1430</v>
      </c>
      <c r="V67" s="49" t="s">
        <v>1431</v>
      </c>
      <c r="W67" s="50" t="s">
        <v>1432</v>
      </c>
      <c r="X67" s="54" t="s">
        <v>1780</v>
      </c>
    </row>
    <row r="68" spans="1:24" ht="13.5">
      <c r="A68" t="s">
        <v>153</v>
      </c>
      <c r="B68" t="s">
        <v>161</v>
      </c>
      <c r="C68" t="s">
        <v>718</v>
      </c>
      <c r="D68" t="s">
        <v>286</v>
      </c>
      <c r="E68" t="s">
        <v>343</v>
      </c>
      <c r="F68" t="s">
        <v>413</v>
      </c>
      <c r="G68" t="s">
        <v>475</v>
      </c>
      <c r="H68" t="s">
        <v>615</v>
      </c>
      <c r="I68" t="s">
        <v>1080</v>
      </c>
      <c r="J68" t="s">
        <v>788</v>
      </c>
      <c r="K68" t="s">
        <v>870</v>
      </c>
      <c r="L68" t="s">
        <v>944</v>
      </c>
      <c r="M68" t="s">
        <v>1148</v>
      </c>
      <c r="N68" t="s">
        <v>1008</v>
      </c>
      <c r="O68" t="s">
        <v>1543</v>
      </c>
      <c r="P68" t="s">
        <v>1619</v>
      </c>
      <c r="Q68" t="s">
        <v>1239</v>
      </c>
      <c r="R68" s="31" t="s">
        <v>557</v>
      </c>
      <c r="S68" s="31" t="s">
        <v>693</v>
      </c>
      <c r="T68" s="31" t="s">
        <v>1699</v>
      </c>
      <c r="U68" s="49" t="s">
        <v>1433</v>
      </c>
      <c r="V68" s="49" t="s">
        <v>1434</v>
      </c>
      <c r="W68" s="50" t="s">
        <v>1435</v>
      </c>
      <c r="X68" s="54" t="s">
        <v>1781</v>
      </c>
    </row>
    <row r="69" spans="1:24" ht="13.5">
      <c r="A69" t="s">
        <v>154</v>
      </c>
      <c r="B69" t="s">
        <v>162</v>
      </c>
      <c r="C69" t="s">
        <v>719</v>
      </c>
      <c r="D69" t="s">
        <v>287</v>
      </c>
      <c r="E69" t="s">
        <v>344</v>
      </c>
      <c r="F69" t="s">
        <v>414</v>
      </c>
      <c r="G69" t="s">
        <v>476</v>
      </c>
      <c r="H69" t="s">
        <v>616</v>
      </c>
      <c r="I69" t="s">
        <v>1081</v>
      </c>
      <c r="J69" t="s">
        <v>789</v>
      </c>
      <c r="K69" t="s">
        <v>871</v>
      </c>
      <c r="L69" t="s">
        <v>945</v>
      </c>
      <c r="M69" t="s">
        <v>1149</v>
      </c>
      <c r="N69" t="s">
        <v>1009</v>
      </c>
      <c r="O69" t="s">
        <v>1544</v>
      </c>
      <c r="P69" t="s">
        <v>1620</v>
      </c>
      <c r="Q69" t="s">
        <v>1240</v>
      </c>
      <c r="R69" s="31" t="s">
        <v>558</v>
      </c>
      <c r="S69" s="31" t="s">
        <v>694</v>
      </c>
      <c r="T69" s="31" t="s">
        <v>1700</v>
      </c>
      <c r="U69" s="49" t="s">
        <v>1436</v>
      </c>
      <c r="V69" s="49" t="s">
        <v>1437</v>
      </c>
      <c r="W69" s="50" t="s">
        <v>1438</v>
      </c>
      <c r="X69" s="54" t="s">
        <v>1782</v>
      </c>
    </row>
    <row r="70" spans="1:24" ht="13.5">
      <c r="A70" t="s">
        <v>155</v>
      </c>
      <c r="B70" t="s">
        <v>163</v>
      </c>
      <c r="C70" t="s">
        <v>720</v>
      </c>
      <c r="D70" t="s">
        <v>288</v>
      </c>
      <c r="E70" t="s">
        <v>345</v>
      </c>
      <c r="F70" t="s">
        <v>415</v>
      </c>
      <c r="G70" t="s">
        <v>477</v>
      </c>
      <c r="H70" t="s">
        <v>617</v>
      </c>
      <c r="I70" t="s">
        <v>1082</v>
      </c>
      <c r="J70" t="s">
        <v>790</v>
      </c>
      <c r="K70" t="s">
        <v>872</v>
      </c>
      <c r="L70" t="s">
        <v>946</v>
      </c>
      <c r="M70" t="s">
        <v>1150</v>
      </c>
      <c r="N70" t="s">
        <v>1010</v>
      </c>
      <c r="O70" t="s">
        <v>1545</v>
      </c>
      <c r="P70" t="s">
        <v>1621</v>
      </c>
      <c r="Q70" t="s">
        <v>1241</v>
      </c>
      <c r="R70" s="31" t="s">
        <v>559</v>
      </c>
      <c r="S70" s="31" t="s">
        <v>695</v>
      </c>
      <c r="T70" s="31" t="s">
        <v>1701</v>
      </c>
      <c r="U70" s="49" t="s">
        <v>1439</v>
      </c>
      <c r="V70" s="49" t="s">
        <v>1440</v>
      </c>
      <c r="W70" s="50" t="s">
        <v>1441</v>
      </c>
      <c r="X70" s="54" t="s">
        <v>1783</v>
      </c>
    </row>
    <row r="71" spans="1:24" ht="13.5">
      <c r="A71" t="s">
        <v>156</v>
      </c>
      <c r="B71" t="s">
        <v>164</v>
      </c>
      <c r="C71" t="s">
        <v>721</v>
      </c>
      <c r="D71" t="s">
        <v>289</v>
      </c>
      <c r="E71" t="s">
        <v>346</v>
      </c>
      <c r="F71" t="s">
        <v>416</v>
      </c>
      <c r="G71" t="s">
        <v>478</v>
      </c>
      <c r="H71" t="s">
        <v>618</v>
      </c>
      <c r="I71" t="s">
        <v>1083</v>
      </c>
      <c r="J71" t="s">
        <v>791</v>
      </c>
      <c r="K71" t="s">
        <v>873</v>
      </c>
      <c r="L71" t="s">
        <v>947</v>
      </c>
      <c r="M71" t="s">
        <v>1151</v>
      </c>
      <c r="N71" t="s">
        <v>1011</v>
      </c>
      <c r="O71" t="s">
        <v>1546</v>
      </c>
      <c r="P71" t="s">
        <v>1622</v>
      </c>
      <c r="Q71" t="s">
        <v>1242</v>
      </c>
      <c r="R71" s="31" t="s">
        <v>560</v>
      </c>
      <c r="S71" s="31" t="s">
        <v>696</v>
      </c>
      <c r="T71" s="31" t="s">
        <v>1702</v>
      </c>
      <c r="U71" s="49" t="s">
        <v>1442</v>
      </c>
      <c r="V71" s="49" t="s">
        <v>1443</v>
      </c>
      <c r="W71" s="50" t="s">
        <v>1444</v>
      </c>
      <c r="X71" s="54" t="s">
        <v>1784</v>
      </c>
    </row>
    <row r="72" spans="1:24" ht="13.5">
      <c r="A72" t="s">
        <v>165</v>
      </c>
      <c r="B72" t="s">
        <v>169</v>
      </c>
      <c r="C72" t="s">
        <v>722</v>
      </c>
      <c r="D72" t="s">
        <v>290</v>
      </c>
      <c r="E72" t="s">
        <v>347</v>
      </c>
      <c r="F72" t="s">
        <v>417</v>
      </c>
      <c r="G72" t="s">
        <v>479</v>
      </c>
      <c r="H72" t="s">
        <v>619</v>
      </c>
      <c r="I72" t="s">
        <v>1084</v>
      </c>
      <c r="J72" t="s">
        <v>792</v>
      </c>
      <c r="K72" t="s">
        <v>874</v>
      </c>
      <c r="L72" t="s">
        <v>948</v>
      </c>
      <c r="M72" t="s">
        <v>1152</v>
      </c>
      <c r="N72" t="s">
        <v>1012</v>
      </c>
      <c r="O72" t="s">
        <v>1547</v>
      </c>
      <c r="P72" t="s">
        <v>1623</v>
      </c>
      <c r="Q72" t="s">
        <v>1243</v>
      </c>
      <c r="R72" s="31" t="s">
        <v>561</v>
      </c>
      <c r="S72" s="31" t="s">
        <v>697</v>
      </c>
      <c r="T72" s="31" t="s">
        <v>1703</v>
      </c>
      <c r="U72" s="49" t="s">
        <v>1445</v>
      </c>
      <c r="V72" s="49" t="s">
        <v>1446</v>
      </c>
      <c r="W72" s="50" t="s">
        <v>1447</v>
      </c>
      <c r="X72" s="54" t="s">
        <v>1785</v>
      </c>
    </row>
    <row r="73" spans="1:24" ht="13.5">
      <c r="A73" t="s">
        <v>166</v>
      </c>
      <c r="B73" t="s">
        <v>170</v>
      </c>
      <c r="C73" t="s">
        <v>723</v>
      </c>
      <c r="D73" t="s">
        <v>291</v>
      </c>
      <c r="E73" t="s">
        <v>348</v>
      </c>
      <c r="F73" t="s">
        <v>418</v>
      </c>
      <c r="G73" t="s">
        <v>480</v>
      </c>
      <c r="H73" t="s">
        <v>620</v>
      </c>
      <c r="I73" t="s">
        <v>1085</v>
      </c>
      <c r="J73" t="s">
        <v>793</v>
      </c>
      <c r="K73" t="s">
        <v>875</v>
      </c>
      <c r="L73" t="s">
        <v>949</v>
      </c>
      <c r="M73" t="s">
        <v>1153</v>
      </c>
      <c r="N73" t="s">
        <v>1013</v>
      </c>
      <c r="O73" t="s">
        <v>1548</v>
      </c>
      <c r="P73" t="s">
        <v>1624</v>
      </c>
      <c r="Q73" t="s">
        <v>1244</v>
      </c>
      <c r="R73" s="31" t="s">
        <v>562</v>
      </c>
      <c r="S73" s="31" t="s">
        <v>698</v>
      </c>
      <c r="T73" s="31" t="s">
        <v>1704</v>
      </c>
      <c r="U73" s="49" t="s">
        <v>1448</v>
      </c>
      <c r="V73" s="49" t="s">
        <v>1449</v>
      </c>
      <c r="W73" s="50" t="s">
        <v>1450</v>
      </c>
      <c r="X73" s="54" t="s">
        <v>1786</v>
      </c>
    </row>
    <row r="74" spans="1:24" ht="13.5">
      <c r="A74" t="s">
        <v>167</v>
      </c>
      <c r="B74" t="s">
        <v>171</v>
      </c>
      <c r="C74" t="s">
        <v>724</v>
      </c>
      <c r="D74" t="s">
        <v>292</v>
      </c>
      <c r="E74" t="s">
        <v>349</v>
      </c>
      <c r="F74" t="s">
        <v>419</v>
      </c>
      <c r="G74" t="s">
        <v>481</v>
      </c>
      <c r="H74" t="s">
        <v>621</v>
      </c>
      <c r="I74" t="s">
        <v>1086</v>
      </c>
      <c r="J74" t="s">
        <v>794</v>
      </c>
      <c r="K74" t="s">
        <v>876</v>
      </c>
      <c r="L74" t="s">
        <v>950</v>
      </c>
      <c r="M74" t="s">
        <v>1154</v>
      </c>
      <c r="N74" t="s">
        <v>1014</v>
      </c>
      <c r="O74" t="s">
        <v>1549</v>
      </c>
      <c r="P74" t="s">
        <v>1625</v>
      </c>
      <c r="Q74" t="s">
        <v>1245</v>
      </c>
      <c r="R74" s="31" t="s">
        <v>563</v>
      </c>
      <c r="S74" s="31" t="s">
        <v>699</v>
      </c>
      <c r="T74" s="31" t="s">
        <v>1705</v>
      </c>
      <c r="U74" s="49" t="s">
        <v>1451</v>
      </c>
      <c r="V74" s="49" t="s">
        <v>1452</v>
      </c>
      <c r="W74" s="50" t="s">
        <v>1453</v>
      </c>
      <c r="X74" s="54" t="s">
        <v>1787</v>
      </c>
    </row>
    <row r="75" spans="1:24" ht="13.5">
      <c r="A75" t="s">
        <v>168</v>
      </c>
      <c r="B75" t="s">
        <v>172</v>
      </c>
      <c r="C75" t="s">
        <v>725</v>
      </c>
      <c r="D75" t="s">
        <v>293</v>
      </c>
      <c r="E75" t="s">
        <v>350</v>
      </c>
      <c r="F75" t="s">
        <v>420</v>
      </c>
      <c r="G75" t="s">
        <v>482</v>
      </c>
      <c r="H75" t="s">
        <v>622</v>
      </c>
      <c r="I75" t="s">
        <v>1087</v>
      </c>
      <c r="J75" t="s">
        <v>795</v>
      </c>
      <c r="K75" t="s">
        <v>877</v>
      </c>
      <c r="L75" t="s">
        <v>951</v>
      </c>
      <c r="M75" t="s">
        <v>1155</v>
      </c>
      <c r="N75" t="s">
        <v>1015</v>
      </c>
      <c r="O75" t="s">
        <v>1550</v>
      </c>
      <c r="P75" t="s">
        <v>1626</v>
      </c>
      <c r="Q75" t="s">
        <v>1246</v>
      </c>
      <c r="R75" s="31" t="s">
        <v>564</v>
      </c>
      <c r="S75" s="31" t="s">
        <v>700</v>
      </c>
      <c r="T75" s="31" t="s">
        <v>1706</v>
      </c>
      <c r="U75" s="49" t="s">
        <v>1454</v>
      </c>
      <c r="V75" s="49" t="s">
        <v>1455</v>
      </c>
      <c r="W75" s="50" t="s">
        <v>1456</v>
      </c>
      <c r="X75" s="54" t="s">
        <v>1788</v>
      </c>
    </row>
    <row r="76" spans="1:24" ht="13.5">
      <c r="A76" t="s">
        <v>173</v>
      </c>
      <c r="B76" t="s">
        <v>177</v>
      </c>
      <c r="C76" t="s">
        <v>726</v>
      </c>
      <c r="D76" t="s">
        <v>294</v>
      </c>
      <c r="E76" t="s">
        <v>351</v>
      </c>
      <c r="F76" t="s">
        <v>421</v>
      </c>
      <c r="G76" t="s">
        <v>483</v>
      </c>
      <c r="H76" t="s">
        <v>623</v>
      </c>
      <c r="I76" t="s">
        <v>1088</v>
      </c>
      <c r="J76" t="s">
        <v>796</v>
      </c>
      <c r="K76" t="s">
        <v>878</v>
      </c>
      <c r="L76" t="s">
        <v>952</v>
      </c>
      <c r="M76" t="s">
        <v>1156</v>
      </c>
      <c r="N76" t="s">
        <v>1016</v>
      </c>
      <c r="O76" t="s">
        <v>1551</v>
      </c>
      <c r="P76" t="s">
        <v>1627</v>
      </c>
      <c r="Q76" t="s">
        <v>1247</v>
      </c>
      <c r="R76" s="31" t="s">
        <v>565</v>
      </c>
      <c r="S76" s="31" t="s">
        <v>701</v>
      </c>
      <c r="T76" s="31" t="s">
        <v>1707</v>
      </c>
      <c r="U76" s="53" t="s">
        <v>1457</v>
      </c>
      <c r="V76" s="51" t="s">
        <v>1458</v>
      </c>
      <c r="W76" s="50" t="s">
        <v>1459</v>
      </c>
      <c r="X76" s="54" t="s">
        <v>1789</v>
      </c>
    </row>
    <row r="77" spans="1:24" ht="13.5">
      <c r="A77" t="s">
        <v>174</v>
      </c>
      <c r="B77" t="s">
        <v>178</v>
      </c>
      <c r="C77" t="s">
        <v>727</v>
      </c>
      <c r="D77" t="s">
        <v>294</v>
      </c>
      <c r="E77" t="s">
        <v>352</v>
      </c>
      <c r="F77" t="s">
        <v>422</v>
      </c>
      <c r="G77" t="s">
        <v>484</v>
      </c>
      <c r="H77" t="s">
        <v>624</v>
      </c>
      <c r="I77" t="s">
        <v>1089</v>
      </c>
      <c r="J77" t="s">
        <v>797</v>
      </c>
      <c r="K77" t="s">
        <v>879</v>
      </c>
      <c r="L77" t="s">
        <v>953</v>
      </c>
      <c r="M77" t="s">
        <v>1157</v>
      </c>
      <c r="N77" t="s">
        <v>1017</v>
      </c>
      <c r="O77" t="s">
        <v>1552</v>
      </c>
      <c r="P77" t="s">
        <v>1628</v>
      </c>
      <c r="Q77" t="s">
        <v>1248</v>
      </c>
      <c r="R77" s="31" t="s">
        <v>566</v>
      </c>
      <c r="S77" s="31" t="s">
        <v>702</v>
      </c>
      <c r="T77" s="31" t="s">
        <v>1708</v>
      </c>
      <c r="U77" s="53" t="s">
        <v>1460</v>
      </c>
      <c r="V77" s="51" t="s">
        <v>1461</v>
      </c>
      <c r="W77" s="50" t="s">
        <v>1462</v>
      </c>
      <c r="X77" s="54" t="s">
        <v>1790</v>
      </c>
    </row>
    <row r="78" spans="1:24" ht="13.5">
      <c r="A78" t="s">
        <v>175</v>
      </c>
      <c r="B78" t="s">
        <v>1092</v>
      </c>
      <c r="C78" t="s">
        <v>728</v>
      </c>
      <c r="D78" t="s">
        <v>295</v>
      </c>
      <c r="E78" t="s">
        <v>353</v>
      </c>
      <c r="F78" t="s">
        <v>423</v>
      </c>
      <c r="G78" t="s">
        <v>485</v>
      </c>
      <c r="H78" t="s">
        <v>625</v>
      </c>
      <c r="I78" t="s">
        <v>1090</v>
      </c>
      <c r="J78" t="s">
        <v>798</v>
      </c>
      <c r="K78" t="s">
        <v>880</v>
      </c>
      <c r="L78" t="s">
        <v>954</v>
      </c>
      <c r="M78" t="s">
        <v>1158</v>
      </c>
      <c r="N78" t="s">
        <v>1018</v>
      </c>
      <c r="O78" t="s">
        <v>1553</v>
      </c>
      <c r="P78" t="s">
        <v>1629</v>
      </c>
      <c r="Q78" t="s">
        <v>1249</v>
      </c>
      <c r="R78" s="31" t="s">
        <v>567</v>
      </c>
      <c r="S78" s="31" t="s">
        <v>703</v>
      </c>
      <c r="T78" s="31" t="s">
        <v>1709</v>
      </c>
      <c r="U78" s="53" t="s">
        <v>1463</v>
      </c>
      <c r="V78" s="51" t="s">
        <v>1464</v>
      </c>
      <c r="W78" s="50" t="s">
        <v>1465</v>
      </c>
      <c r="X78" s="54" t="s">
        <v>1791</v>
      </c>
    </row>
    <row r="79" spans="1:24" ht="13.5">
      <c r="A79" t="s">
        <v>176</v>
      </c>
      <c r="B79" t="s">
        <v>1093</v>
      </c>
      <c r="C79" t="s">
        <v>729</v>
      </c>
      <c r="D79" t="s">
        <v>295</v>
      </c>
      <c r="E79" t="s">
        <v>354</v>
      </c>
      <c r="F79" t="s">
        <v>424</v>
      </c>
      <c r="G79" t="s">
        <v>486</v>
      </c>
      <c r="H79" t="s">
        <v>626</v>
      </c>
      <c r="I79" t="s">
        <v>1094</v>
      </c>
      <c r="J79" t="s">
        <v>799</v>
      </c>
      <c r="K79" t="s">
        <v>881</v>
      </c>
      <c r="L79" t="s">
        <v>955</v>
      </c>
      <c r="M79" t="s">
        <v>1159</v>
      </c>
      <c r="N79" t="s">
        <v>1019</v>
      </c>
      <c r="O79" t="s">
        <v>1554</v>
      </c>
      <c r="P79" t="s">
        <v>1630</v>
      </c>
      <c r="Q79" t="s">
        <v>1250</v>
      </c>
      <c r="R79" s="31" t="s">
        <v>568</v>
      </c>
      <c r="S79" s="31" t="s">
        <v>704</v>
      </c>
      <c r="T79" s="31" t="s">
        <v>1710</v>
      </c>
      <c r="U79" s="53" t="s">
        <v>1466</v>
      </c>
      <c r="V79" s="51" t="s">
        <v>1467</v>
      </c>
      <c r="W79" s="50" t="s">
        <v>1468</v>
      </c>
      <c r="X79" s="54" t="s">
        <v>1792</v>
      </c>
    </row>
    <row r="80" spans="1:24" ht="13.5">
      <c r="A80" t="s">
        <v>114</v>
      </c>
      <c r="B80" t="s">
        <v>114</v>
      </c>
      <c r="C80" t="s">
        <v>230</v>
      </c>
      <c r="D80" t="s">
        <v>114</v>
      </c>
      <c r="E80" t="s">
        <v>355</v>
      </c>
      <c r="F80" t="s">
        <v>114</v>
      </c>
      <c r="G80" t="s">
        <v>487</v>
      </c>
      <c r="H80" t="s">
        <v>487</v>
      </c>
      <c r="I80" t="s">
        <v>487</v>
      </c>
      <c r="J80" t="s">
        <v>800</v>
      </c>
      <c r="K80" t="s">
        <v>882</v>
      </c>
      <c r="L80" t="s">
        <v>956</v>
      </c>
      <c r="M80" t="s">
        <v>1160</v>
      </c>
      <c r="N80" t="s">
        <v>1020</v>
      </c>
      <c r="O80" t="s">
        <v>1555</v>
      </c>
      <c r="P80" t="s">
        <v>1631</v>
      </c>
      <c r="Q80" t="s">
        <v>1251</v>
      </c>
      <c r="R80" s="31" t="s">
        <v>569</v>
      </c>
      <c r="S80" s="31" t="s">
        <v>705</v>
      </c>
      <c r="T80" s="31" t="s">
        <v>1711</v>
      </c>
      <c r="U80" s="53" t="s">
        <v>1469</v>
      </c>
      <c r="V80" s="51" t="s">
        <v>1469</v>
      </c>
      <c r="W80" s="50" t="s">
        <v>1470</v>
      </c>
      <c r="X80" s="54" t="s">
        <v>1793</v>
      </c>
    </row>
    <row r="81" spans="1:24" ht="13.5">
      <c r="A81" t="s">
        <v>115</v>
      </c>
      <c r="B81" t="s">
        <v>115</v>
      </c>
      <c r="C81" t="s">
        <v>231</v>
      </c>
      <c r="D81" t="s">
        <v>115</v>
      </c>
      <c r="E81" t="s">
        <v>356</v>
      </c>
      <c r="F81" t="s">
        <v>115</v>
      </c>
      <c r="G81" t="s">
        <v>488</v>
      </c>
      <c r="H81" t="s">
        <v>488</v>
      </c>
      <c r="I81" t="s">
        <v>488</v>
      </c>
      <c r="J81" t="s">
        <v>801</v>
      </c>
      <c r="K81" t="s">
        <v>883</v>
      </c>
      <c r="L81" t="s">
        <v>957</v>
      </c>
      <c r="M81" t="s">
        <v>1161</v>
      </c>
      <c r="N81" t="s">
        <v>1021</v>
      </c>
      <c r="O81" t="s">
        <v>1556</v>
      </c>
      <c r="P81" t="s">
        <v>1632</v>
      </c>
      <c r="Q81" t="s">
        <v>1252</v>
      </c>
      <c r="R81" s="31" t="s">
        <v>570</v>
      </c>
      <c r="S81" s="31" t="s">
        <v>706</v>
      </c>
      <c r="T81" s="31" t="s">
        <v>1712</v>
      </c>
      <c r="U81" s="53" t="s">
        <v>1471</v>
      </c>
      <c r="V81" s="51" t="s">
        <v>1471</v>
      </c>
      <c r="W81" s="50" t="s">
        <v>1472</v>
      </c>
      <c r="X81" s="54" t="s">
        <v>1794</v>
      </c>
    </row>
    <row r="82" spans="1:24" ht="11.25">
      <c r="A82" t="s">
        <v>1796</v>
      </c>
      <c r="B82" t="s">
        <v>1796</v>
      </c>
      <c r="C82" t="s">
        <v>1796</v>
      </c>
      <c r="D82" t="s">
        <v>1796</v>
      </c>
      <c r="E82" t="s">
        <v>1796</v>
      </c>
      <c r="F82" t="s">
        <v>1796</v>
      </c>
      <c r="G82" t="s">
        <v>1796</v>
      </c>
      <c r="H82" t="s">
        <v>1796</v>
      </c>
      <c r="I82" t="s">
        <v>1796</v>
      </c>
      <c r="J82" t="s">
        <v>1796</v>
      </c>
      <c r="K82" t="s">
        <v>1796</v>
      </c>
      <c r="L82" t="s">
        <v>1796</v>
      </c>
      <c r="M82" t="s">
        <v>1796</v>
      </c>
      <c r="N82" t="s">
        <v>1796</v>
      </c>
      <c r="O82" t="s">
        <v>1796</v>
      </c>
      <c r="P82" t="s">
        <v>1796</v>
      </c>
      <c r="Q82" t="s">
        <v>1796</v>
      </c>
      <c r="R82" t="s">
        <v>1796</v>
      </c>
      <c r="S82" t="s">
        <v>1796</v>
      </c>
      <c r="T82" t="s">
        <v>1796</v>
      </c>
      <c r="U82" t="s">
        <v>1796</v>
      </c>
      <c r="V82" t="s">
        <v>1796</v>
      </c>
      <c r="W82" t="s">
        <v>1796</v>
      </c>
      <c r="X82" t="s">
        <v>1796</v>
      </c>
    </row>
    <row r="83" spans="1:24" ht="13.5">
      <c r="A83" t="s">
        <v>112</v>
      </c>
      <c r="B83" t="s">
        <v>113</v>
      </c>
      <c r="C83" t="s">
        <v>232</v>
      </c>
      <c r="D83" t="s">
        <v>112</v>
      </c>
      <c r="E83" t="s">
        <v>357</v>
      </c>
      <c r="F83" t="s">
        <v>425</v>
      </c>
      <c r="G83" t="s">
        <v>489</v>
      </c>
      <c r="H83" t="s">
        <v>627</v>
      </c>
      <c r="I83" t="s">
        <v>1091</v>
      </c>
      <c r="J83" t="s">
        <v>802</v>
      </c>
      <c r="K83" t="s">
        <v>884</v>
      </c>
      <c r="L83" t="s">
        <v>958</v>
      </c>
      <c r="M83" t="s">
        <v>1162</v>
      </c>
      <c r="N83" t="s">
        <v>1022</v>
      </c>
      <c r="O83" t="s">
        <v>1557</v>
      </c>
      <c r="P83" t="s">
        <v>1633</v>
      </c>
      <c r="Q83" t="s">
        <v>1253</v>
      </c>
      <c r="R83" s="31" t="s">
        <v>571</v>
      </c>
      <c r="S83" s="31" t="s">
        <v>707</v>
      </c>
      <c r="T83" s="31" t="s">
        <v>1713</v>
      </c>
      <c r="U83" s="53" t="s">
        <v>1473</v>
      </c>
      <c r="V83" s="51" t="s">
        <v>1474</v>
      </c>
      <c r="W83" s="50" t="s">
        <v>1475</v>
      </c>
      <c r="X83" s="54" t="s">
        <v>1795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</dc:creator>
  <cp:keywords/>
  <dc:description/>
  <cp:lastModifiedBy>ardjomand</cp:lastModifiedBy>
  <cp:lastPrinted>2006-05-03T13:12:43Z</cp:lastPrinted>
  <dcterms:created xsi:type="dcterms:W3CDTF">2005-12-06T22:26:17Z</dcterms:created>
  <dcterms:modified xsi:type="dcterms:W3CDTF">2006-06-11T07:45:47Z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